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5540355\Downloads\데이터 작업\"/>
    </mc:Choice>
  </mc:AlternateContent>
  <bookViews>
    <workbookView xWindow="1185" yWindow="-105" windowWidth="23250" windowHeight="12570"/>
  </bookViews>
  <sheets>
    <sheet name="T_Monthly" sheetId="2" r:id="rId1"/>
    <sheet name="data비교작업" sheetId="3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U6" i="3" l="1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5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4" i="3"/>
  <c r="B4" i="3"/>
  <c r="S883" i="3"/>
  <c r="J880" i="2" s="1"/>
  <c r="Q883" i="3"/>
  <c r="L883" i="3"/>
  <c r="K883" i="3"/>
  <c r="I883" i="3"/>
  <c r="P883" i="3"/>
  <c r="N883" i="3"/>
  <c r="H883" i="3"/>
  <c r="F883" i="3"/>
  <c r="D883" i="3"/>
  <c r="B883" i="3"/>
  <c r="S882" i="3"/>
  <c r="J879" i="2" s="1"/>
  <c r="Q882" i="3"/>
  <c r="L882" i="3"/>
  <c r="K882" i="3"/>
  <c r="I882" i="3"/>
  <c r="P882" i="3"/>
  <c r="N882" i="3"/>
  <c r="H882" i="3"/>
  <c r="F882" i="3"/>
  <c r="D882" i="3"/>
  <c r="B882" i="3"/>
  <c r="S881" i="3"/>
  <c r="J878" i="2" s="1"/>
  <c r="Q881" i="3"/>
  <c r="L881" i="3"/>
  <c r="K881" i="3"/>
  <c r="I881" i="3"/>
  <c r="P881" i="3"/>
  <c r="N881" i="3"/>
  <c r="H881" i="3"/>
  <c r="F881" i="3"/>
  <c r="D881" i="3"/>
  <c r="B881" i="3"/>
  <c r="S880" i="3"/>
  <c r="J877" i="2" s="1"/>
  <c r="Q880" i="3"/>
  <c r="L880" i="3"/>
  <c r="K880" i="3"/>
  <c r="I880" i="3"/>
  <c r="P880" i="3"/>
  <c r="N880" i="3"/>
  <c r="H880" i="3"/>
  <c r="F880" i="3"/>
  <c r="D880" i="3"/>
  <c r="B880" i="3"/>
  <c r="S879" i="3"/>
  <c r="J876" i="2" s="1"/>
  <c r="Q879" i="3"/>
  <c r="L879" i="3"/>
  <c r="K879" i="3"/>
  <c r="I879" i="3"/>
  <c r="P879" i="3"/>
  <c r="N879" i="3"/>
  <c r="H879" i="3"/>
  <c r="F879" i="3"/>
  <c r="D879" i="3"/>
  <c r="B879" i="3"/>
  <c r="S878" i="3"/>
  <c r="J875" i="2" s="1"/>
  <c r="Q878" i="3"/>
  <c r="L878" i="3"/>
  <c r="K878" i="3"/>
  <c r="I878" i="3"/>
  <c r="P878" i="3"/>
  <c r="N878" i="3"/>
  <c r="H878" i="3"/>
  <c r="F878" i="3"/>
  <c r="D878" i="3"/>
  <c r="B878" i="3"/>
  <c r="S877" i="3"/>
  <c r="J874" i="2" s="1"/>
  <c r="Q877" i="3"/>
  <c r="L877" i="3"/>
  <c r="K877" i="3"/>
  <c r="I877" i="3"/>
  <c r="P877" i="3"/>
  <c r="N877" i="3"/>
  <c r="H877" i="3"/>
  <c r="F877" i="3"/>
  <c r="D877" i="3"/>
  <c r="B877" i="3"/>
  <c r="S876" i="3"/>
  <c r="J873" i="2" s="1"/>
  <c r="Q876" i="3"/>
  <c r="L876" i="3"/>
  <c r="K876" i="3"/>
  <c r="I876" i="3"/>
  <c r="P876" i="3"/>
  <c r="N876" i="3"/>
  <c r="H876" i="3"/>
  <c r="F876" i="3"/>
  <c r="D876" i="3"/>
  <c r="B876" i="3"/>
  <c r="S875" i="3"/>
  <c r="J872" i="2" s="1"/>
  <c r="Q875" i="3"/>
  <c r="L875" i="3"/>
  <c r="K875" i="3"/>
  <c r="I875" i="3"/>
  <c r="P875" i="3"/>
  <c r="N875" i="3"/>
  <c r="H875" i="3"/>
  <c r="F875" i="3"/>
  <c r="D875" i="3"/>
  <c r="B875" i="3"/>
  <c r="S874" i="3"/>
  <c r="J871" i="2" s="1"/>
  <c r="Q874" i="3"/>
  <c r="L874" i="3"/>
  <c r="K874" i="3"/>
  <c r="I874" i="3"/>
  <c r="P874" i="3"/>
  <c r="N874" i="3"/>
  <c r="H874" i="3"/>
  <c r="F874" i="3"/>
  <c r="D874" i="3"/>
  <c r="B874" i="3"/>
  <c r="S873" i="3"/>
  <c r="J870" i="2" s="1"/>
  <c r="Q873" i="3"/>
  <c r="L873" i="3"/>
  <c r="K873" i="3"/>
  <c r="I873" i="3"/>
  <c r="P873" i="3"/>
  <c r="N873" i="3"/>
  <c r="H873" i="3"/>
  <c r="F873" i="3"/>
  <c r="D873" i="3"/>
  <c r="B873" i="3"/>
  <c r="S872" i="3"/>
  <c r="J869" i="2" s="1"/>
  <c r="Q872" i="3"/>
  <c r="L872" i="3"/>
  <c r="K872" i="3"/>
  <c r="I872" i="3"/>
  <c r="P872" i="3"/>
  <c r="N872" i="3"/>
  <c r="H872" i="3"/>
  <c r="F872" i="3"/>
  <c r="D872" i="3"/>
  <c r="B872" i="3"/>
  <c r="S871" i="3"/>
  <c r="J868" i="2" s="1"/>
  <c r="Q871" i="3"/>
  <c r="L871" i="3"/>
  <c r="K871" i="3"/>
  <c r="I871" i="3"/>
  <c r="P871" i="3"/>
  <c r="N871" i="3"/>
  <c r="H871" i="3"/>
  <c r="F871" i="3"/>
  <c r="D871" i="3"/>
  <c r="B871" i="3"/>
  <c r="S870" i="3"/>
  <c r="J867" i="2" s="1"/>
  <c r="Q870" i="3"/>
  <c r="L870" i="3"/>
  <c r="K870" i="3"/>
  <c r="I870" i="3"/>
  <c r="P870" i="3"/>
  <c r="N870" i="3"/>
  <c r="H870" i="3"/>
  <c r="F870" i="3"/>
  <c r="D870" i="3"/>
  <c r="B870" i="3"/>
  <c r="S869" i="3"/>
  <c r="J866" i="2" s="1"/>
  <c r="Q869" i="3"/>
  <c r="L869" i="3"/>
  <c r="K869" i="3"/>
  <c r="I869" i="3"/>
  <c r="P869" i="3"/>
  <c r="N869" i="3"/>
  <c r="H869" i="3"/>
  <c r="F869" i="3"/>
  <c r="D869" i="3"/>
  <c r="B869" i="3"/>
  <c r="S868" i="3"/>
  <c r="J865" i="2" s="1"/>
  <c r="Q868" i="3"/>
  <c r="L868" i="3"/>
  <c r="K868" i="3"/>
  <c r="I868" i="3"/>
  <c r="P868" i="3"/>
  <c r="N868" i="3"/>
  <c r="H868" i="3"/>
  <c r="F868" i="3"/>
  <c r="D868" i="3"/>
  <c r="B868" i="3"/>
  <c r="S867" i="3"/>
  <c r="J864" i="2" s="1"/>
  <c r="Q867" i="3"/>
  <c r="L867" i="3"/>
  <c r="K867" i="3"/>
  <c r="I867" i="3"/>
  <c r="P867" i="3"/>
  <c r="N867" i="3"/>
  <c r="H867" i="3"/>
  <c r="F867" i="3"/>
  <c r="D867" i="3"/>
  <c r="B867" i="3"/>
  <c r="S866" i="3"/>
  <c r="J863" i="2" s="1"/>
  <c r="Q866" i="3"/>
  <c r="L866" i="3"/>
  <c r="K866" i="3"/>
  <c r="I866" i="3"/>
  <c r="P866" i="3"/>
  <c r="N866" i="3"/>
  <c r="H866" i="3"/>
  <c r="F866" i="3"/>
  <c r="D866" i="3"/>
  <c r="B866" i="3"/>
  <c r="S865" i="3"/>
  <c r="J862" i="2" s="1"/>
  <c r="Q865" i="3"/>
  <c r="L865" i="3"/>
  <c r="K865" i="3"/>
  <c r="I865" i="3"/>
  <c r="P865" i="3"/>
  <c r="N865" i="3"/>
  <c r="H865" i="3"/>
  <c r="F865" i="3"/>
  <c r="D865" i="3"/>
  <c r="B865" i="3"/>
  <c r="S864" i="3"/>
  <c r="J861" i="2" s="1"/>
  <c r="Q864" i="3"/>
  <c r="L864" i="3"/>
  <c r="K864" i="3"/>
  <c r="I864" i="3"/>
  <c r="P864" i="3"/>
  <c r="N864" i="3"/>
  <c r="H864" i="3"/>
  <c r="F864" i="3"/>
  <c r="D864" i="3"/>
  <c r="B864" i="3"/>
  <c r="S863" i="3"/>
  <c r="J860" i="2" s="1"/>
  <c r="Q863" i="3"/>
  <c r="L863" i="3"/>
  <c r="K863" i="3"/>
  <c r="I863" i="3"/>
  <c r="P863" i="3"/>
  <c r="N863" i="3"/>
  <c r="H863" i="3"/>
  <c r="F863" i="3"/>
  <c r="D863" i="3"/>
  <c r="B863" i="3"/>
  <c r="S862" i="3"/>
  <c r="J859" i="2" s="1"/>
  <c r="Q862" i="3"/>
  <c r="L862" i="3"/>
  <c r="K862" i="3"/>
  <c r="I862" i="3"/>
  <c r="P862" i="3"/>
  <c r="N862" i="3"/>
  <c r="H862" i="3"/>
  <c r="F862" i="3"/>
  <c r="D862" i="3"/>
  <c r="B862" i="3"/>
  <c r="S861" i="3"/>
  <c r="J858" i="2" s="1"/>
  <c r="Q861" i="3"/>
  <c r="L861" i="3"/>
  <c r="K861" i="3"/>
  <c r="I861" i="3"/>
  <c r="P861" i="3"/>
  <c r="N861" i="3"/>
  <c r="H861" i="3"/>
  <c r="F861" i="3"/>
  <c r="D861" i="3"/>
  <c r="B861" i="3"/>
  <c r="S860" i="3"/>
  <c r="J857" i="2" s="1"/>
  <c r="Q860" i="3"/>
  <c r="L860" i="3"/>
  <c r="K860" i="3"/>
  <c r="I860" i="3"/>
  <c r="P860" i="3"/>
  <c r="N860" i="3"/>
  <c r="H860" i="3"/>
  <c r="F860" i="3"/>
  <c r="D860" i="3"/>
  <c r="B860" i="3"/>
  <c r="S859" i="3"/>
  <c r="J856" i="2" s="1"/>
  <c r="Q859" i="3"/>
  <c r="L859" i="3"/>
  <c r="K859" i="3"/>
  <c r="I859" i="3"/>
  <c r="P859" i="3"/>
  <c r="N859" i="3"/>
  <c r="H859" i="3"/>
  <c r="F859" i="3"/>
  <c r="D859" i="3"/>
  <c r="B859" i="3"/>
  <c r="S858" i="3"/>
  <c r="J855" i="2" s="1"/>
  <c r="Q858" i="3"/>
  <c r="L858" i="3"/>
  <c r="K858" i="3"/>
  <c r="I858" i="3"/>
  <c r="P858" i="3"/>
  <c r="N858" i="3"/>
  <c r="H858" i="3"/>
  <c r="F858" i="3"/>
  <c r="D858" i="3"/>
  <c r="B858" i="3"/>
  <c r="S857" i="3"/>
  <c r="J854" i="2" s="1"/>
  <c r="Q857" i="3"/>
  <c r="L857" i="3"/>
  <c r="K857" i="3"/>
  <c r="I857" i="3"/>
  <c r="P857" i="3"/>
  <c r="N857" i="3"/>
  <c r="H857" i="3"/>
  <c r="F857" i="3"/>
  <c r="D857" i="3"/>
  <c r="B857" i="3"/>
  <c r="S856" i="3"/>
  <c r="J853" i="2" s="1"/>
  <c r="Q856" i="3"/>
  <c r="L856" i="3"/>
  <c r="K856" i="3"/>
  <c r="I856" i="3"/>
  <c r="P856" i="3"/>
  <c r="N856" i="3"/>
  <c r="H856" i="3"/>
  <c r="F856" i="3"/>
  <c r="D856" i="3"/>
  <c r="B856" i="3"/>
  <c r="S855" i="3"/>
  <c r="J852" i="2" s="1"/>
  <c r="Q855" i="3"/>
  <c r="L855" i="3"/>
  <c r="K855" i="3"/>
  <c r="I855" i="3"/>
  <c r="P855" i="3"/>
  <c r="N855" i="3"/>
  <c r="H855" i="3"/>
  <c r="F855" i="3"/>
  <c r="D855" i="3"/>
  <c r="B855" i="3"/>
  <c r="S854" i="3"/>
  <c r="J851" i="2" s="1"/>
  <c r="Q854" i="3"/>
  <c r="L854" i="3"/>
  <c r="K854" i="3"/>
  <c r="I854" i="3"/>
  <c r="P854" i="3"/>
  <c r="N854" i="3"/>
  <c r="H854" i="3"/>
  <c r="F854" i="3"/>
  <c r="D854" i="3"/>
  <c r="B854" i="3"/>
  <c r="S853" i="3"/>
  <c r="J850" i="2" s="1"/>
  <c r="Q853" i="3"/>
  <c r="L853" i="3"/>
  <c r="K853" i="3"/>
  <c r="I853" i="3"/>
  <c r="P853" i="3"/>
  <c r="N853" i="3"/>
  <c r="H853" i="3"/>
  <c r="F853" i="3"/>
  <c r="D853" i="3"/>
  <c r="B853" i="3"/>
  <c r="S852" i="3"/>
  <c r="J849" i="2" s="1"/>
  <c r="Q852" i="3"/>
  <c r="L852" i="3"/>
  <c r="K852" i="3"/>
  <c r="I852" i="3"/>
  <c r="P852" i="3"/>
  <c r="N852" i="3"/>
  <c r="H852" i="3"/>
  <c r="F852" i="3"/>
  <c r="D852" i="3"/>
  <c r="B852" i="3"/>
  <c r="S851" i="3"/>
  <c r="J848" i="2" s="1"/>
  <c r="Q851" i="3"/>
  <c r="L851" i="3"/>
  <c r="K851" i="3"/>
  <c r="I851" i="3"/>
  <c r="P851" i="3"/>
  <c r="N851" i="3"/>
  <c r="H851" i="3"/>
  <c r="F851" i="3"/>
  <c r="D851" i="3"/>
  <c r="B851" i="3"/>
  <c r="S850" i="3"/>
  <c r="J847" i="2" s="1"/>
  <c r="Q850" i="3"/>
  <c r="L850" i="3"/>
  <c r="K850" i="3"/>
  <c r="I850" i="3"/>
  <c r="P850" i="3"/>
  <c r="N850" i="3"/>
  <c r="H850" i="3"/>
  <c r="F850" i="3"/>
  <c r="D850" i="3"/>
  <c r="B850" i="3"/>
  <c r="S849" i="3"/>
  <c r="J846" i="2" s="1"/>
  <c r="Q849" i="3"/>
  <c r="L849" i="3"/>
  <c r="K849" i="3"/>
  <c r="I849" i="3"/>
  <c r="P849" i="3"/>
  <c r="N849" i="3"/>
  <c r="H849" i="3"/>
  <c r="F849" i="3"/>
  <c r="D849" i="3"/>
  <c r="B849" i="3"/>
  <c r="S848" i="3"/>
  <c r="J845" i="2" s="1"/>
  <c r="Q848" i="3"/>
  <c r="L848" i="3"/>
  <c r="K848" i="3"/>
  <c r="I848" i="3"/>
  <c r="P848" i="3"/>
  <c r="N848" i="3"/>
  <c r="H848" i="3"/>
  <c r="F848" i="3"/>
  <c r="D848" i="3"/>
  <c r="B848" i="3"/>
  <c r="S847" i="3"/>
  <c r="J844" i="2" s="1"/>
  <c r="Q847" i="3"/>
  <c r="L847" i="3"/>
  <c r="K847" i="3"/>
  <c r="I847" i="3"/>
  <c r="P847" i="3"/>
  <c r="N847" i="3"/>
  <c r="H847" i="3"/>
  <c r="F847" i="3"/>
  <c r="D847" i="3"/>
  <c r="B847" i="3"/>
  <c r="S846" i="3"/>
  <c r="J843" i="2" s="1"/>
  <c r="Q846" i="3"/>
  <c r="L846" i="3"/>
  <c r="K846" i="3"/>
  <c r="I846" i="3"/>
  <c r="P846" i="3"/>
  <c r="N846" i="3"/>
  <c r="H846" i="3"/>
  <c r="F846" i="3"/>
  <c r="D846" i="3"/>
  <c r="B846" i="3"/>
  <c r="S845" i="3"/>
  <c r="J842" i="2" s="1"/>
  <c r="Q845" i="3"/>
  <c r="L845" i="3"/>
  <c r="K845" i="3"/>
  <c r="I845" i="3"/>
  <c r="P845" i="3"/>
  <c r="N845" i="3"/>
  <c r="H845" i="3"/>
  <c r="F845" i="3"/>
  <c r="D845" i="3"/>
  <c r="B845" i="3"/>
  <c r="S844" i="3"/>
  <c r="J841" i="2" s="1"/>
  <c r="Q844" i="3"/>
  <c r="L844" i="3"/>
  <c r="K844" i="3"/>
  <c r="I844" i="3"/>
  <c r="P844" i="3"/>
  <c r="N844" i="3"/>
  <c r="H844" i="3"/>
  <c r="F844" i="3"/>
  <c r="D844" i="3"/>
  <c r="B844" i="3"/>
  <c r="S843" i="3"/>
  <c r="J840" i="2" s="1"/>
  <c r="Q843" i="3"/>
  <c r="L843" i="3"/>
  <c r="K843" i="3"/>
  <c r="I843" i="3"/>
  <c r="P843" i="3"/>
  <c r="N843" i="3"/>
  <c r="H843" i="3"/>
  <c r="F843" i="3"/>
  <c r="D843" i="3"/>
  <c r="B843" i="3"/>
  <c r="S842" i="3"/>
  <c r="J839" i="2" s="1"/>
  <c r="Q842" i="3"/>
  <c r="L842" i="3"/>
  <c r="K842" i="3"/>
  <c r="I842" i="3"/>
  <c r="P842" i="3"/>
  <c r="N842" i="3"/>
  <c r="H842" i="3"/>
  <c r="F842" i="3"/>
  <c r="D842" i="3"/>
  <c r="B842" i="3"/>
  <c r="S841" i="3"/>
  <c r="J838" i="2" s="1"/>
  <c r="Q841" i="3"/>
  <c r="L841" i="3"/>
  <c r="K841" i="3"/>
  <c r="I841" i="3"/>
  <c r="P841" i="3"/>
  <c r="N841" i="3"/>
  <c r="H841" i="3"/>
  <c r="F841" i="3"/>
  <c r="D841" i="3"/>
  <c r="B841" i="3"/>
  <c r="S840" i="3"/>
  <c r="J837" i="2" s="1"/>
  <c r="Q840" i="3"/>
  <c r="L840" i="3"/>
  <c r="K840" i="3"/>
  <c r="I840" i="3"/>
  <c r="P840" i="3"/>
  <c r="N840" i="3"/>
  <c r="H840" i="3"/>
  <c r="F840" i="3"/>
  <c r="D840" i="3"/>
  <c r="B840" i="3"/>
  <c r="S839" i="3"/>
  <c r="J836" i="2" s="1"/>
  <c r="Q839" i="3"/>
  <c r="L839" i="3"/>
  <c r="K839" i="3"/>
  <c r="I839" i="3"/>
  <c r="P839" i="3"/>
  <c r="N839" i="3"/>
  <c r="H839" i="3"/>
  <c r="F839" i="3"/>
  <c r="D839" i="3"/>
  <c r="B839" i="3"/>
  <c r="S838" i="3"/>
  <c r="J835" i="2" s="1"/>
  <c r="Q838" i="3"/>
  <c r="L838" i="3"/>
  <c r="K838" i="3"/>
  <c r="I838" i="3"/>
  <c r="P838" i="3"/>
  <c r="N838" i="3"/>
  <c r="H838" i="3"/>
  <c r="F838" i="3"/>
  <c r="D838" i="3"/>
  <c r="B838" i="3"/>
  <c r="S837" i="3"/>
  <c r="J834" i="2" s="1"/>
  <c r="Q837" i="3"/>
  <c r="L837" i="3"/>
  <c r="K837" i="3"/>
  <c r="I837" i="3"/>
  <c r="P837" i="3"/>
  <c r="N837" i="3"/>
  <c r="H837" i="3"/>
  <c r="F837" i="3"/>
  <c r="D837" i="3"/>
  <c r="B837" i="3"/>
  <c r="S836" i="3"/>
  <c r="J833" i="2" s="1"/>
  <c r="Q836" i="3"/>
  <c r="L836" i="3"/>
  <c r="K836" i="3"/>
  <c r="I836" i="3"/>
  <c r="P836" i="3"/>
  <c r="N836" i="3"/>
  <c r="H836" i="3"/>
  <c r="F836" i="3"/>
  <c r="D836" i="3"/>
  <c r="B836" i="3"/>
  <c r="S835" i="3"/>
  <c r="J832" i="2" s="1"/>
  <c r="Q835" i="3"/>
  <c r="L835" i="3"/>
  <c r="K835" i="3"/>
  <c r="I835" i="3"/>
  <c r="P835" i="3"/>
  <c r="N835" i="3"/>
  <c r="H835" i="3"/>
  <c r="F835" i="3"/>
  <c r="D835" i="3"/>
  <c r="B835" i="3"/>
  <c r="S834" i="3"/>
  <c r="J831" i="2" s="1"/>
  <c r="Q834" i="3"/>
  <c r="L834" i="3"/>
  <c r="K834" i="3"/>
  <c r="I834" i="3"/>
  <c r="P834" i="3"/>
  <c r="N834" i="3"/>
  <c r="H834" i="3"/>
  <c r="F834" i="3"/>
  <c r="D834" i="3"/>
  <c r="B834" i="3"/>
  <c r="S833" i="3"/>
  <c r="J830" i="2" s="1"/>
  <c r="Q833" i="3"/>
  <c r="L833" i="3"/>
  <c r="K833" i="3"/>
  <c r="I833" i="3"/>
  <c r="P833" i="3"/>
  <c r="N833" i="3"/>
  <c r="H833" i="3"/>
  <c r="F833" i="3"/>
  <c r="D833" i="3"/>
  <c r="B833" i="3"/>
  <c r="S832" i="3"/>
  <c r="J829" i="2" s="1"/>
  <c r="Q832" i="3"/>
  <c r="L832" i="3"/>
  <c r="K832" i="3"/>
  <c r="I832" i="3"/>
  <c r="P832" i="3"/>
  <c r="N832" i="3"/>
  <c r="H832" i="3"/>
  <c r="F832" i="3"/>
  <c r="D832" i="3"/>
  <c r="B832" i="3"/>
  <c r="S831" i="3"/>
  <c r="J828" i="2" s="1"/>
  <c r="Q831" i="3"/>
  <c r="L831" i="3"/>
  <c r="K831" i="3"/>
  <c r="I831" i="3"/>
  <c r="P831" i="3"/>
  <c r="N831" i="3"/>
  <c r="H831" i="3"/>
  <c r="F831" i="3"/>
  <c r="D831" i="3"/>
  <c r="B831" i="3"/>
  <c r="S830" i="3"/>
  <c r="J827" i="2" s="1"/>
  <c r="Q830" i="3"/>
  <c r="L830" i="3"/>
  <c r="K830" i="3"/>
  <c r="I830" i="3"/>
  <c r="P830" i="3"/>
  <c r="N830" i="3"/>
  <c r="H830" i="3"/>
  <c r="F830" i="3"/>
  <c r="D830" i="3"/>
  <c r="B830" i="3"/>
  <c r="S829" i="3"/>
  <c r="J826" i="2" s="1"/>
  <c r="Q829" i="3"/>
  <c r="L829" i="3"/>
  <c r="K829" i="3"/>
  <c r="I829" i="3"/>
  <c r="P829" i="3"/>
  <c r="N829" i="3"/>
  <c r="H829" i="3"/>
  <c r="F829" i="3"/>
  <c r="D829" i="3"/>
  <c r="B829" i="3"/>
  <c r="S828" i="3"/>
  <c r="J825" i="2" s="1"/>
  <c r="Q828" i="3"/>
  <c r="L828" i="3"/>
  <c r="K828" i="3"/>
  <c r="I828" i="3"/>
  <c r="P828" i="3"/>
  <c r="N828" i="3"/>
  <c r="H828" i="3"/>
  <c r="F828" i="3"/>
  <c r="D828" i="3"/>
  <c r="B828" i="3"/>
  <c r="S827" i="3"/>
  <c r="J824" i="2" s="1"/>
  <c r="Q827" i="3"/>
  <c r="L827" i="3"/>
  <c r="K827" i="3"/>
  <c r="I827" i="3"/>
  <c r="P827" i="3"/>
  <c r="N827" i="3"/>
  <c r="H827" i="3"/>
  <c r="F827" i="3"/>
  <c r="D827" i="3"/>
  <c r="B827" i="3"/>
  <c r="S826" i="3"/>
  <c r="J823" i="2" s="1"/>
  <c r="Q826" i="3"/>
  <c r="L826" i="3"/>
  <c r="K826" i="3"/>
  <c r="I826" i="3"/>
  <c r="P826" i="3"/>
  <c r="N826" i="3"/>
  <c r="H826" i="3"/>
  <c r="F826" i="3"/>
  <c r="D826" i="3"/>
  <c r="B826" i="3"/>
  <c r="S825" i="3"/>
  <c r="J822" i="2" s="1"/>
  <c r="Q825" i="3"/>
  <c r="L825" i="3"/>
  <c r="K825" i="3"/>
  <c r="I825" i="3"/>
  <c r="P825" i="3"/>
  <c r="N825" i="3"/>
  <c r="H825" i="3"/>
  <c r="F825" i="3"/>
  <c r="D825" i="3"/>
  <c r="B825" i="3"/>
  <c r="S824" i="3"/>
  <c r="J821" i="2" s="1"/>
  <c r="Q824" i="3"/>
  <c r="L824" i="3"/>
  <c r="K824" i="3"/>
  <c r="I824" i="3"/>
  <c r="P824" i="3"/>
  <c r="N824" i="3"/>
  <c r="H824" i="3"/>
  <c r="F824" i="3"/>
  <c r="D824" i="3"/>
  <c r="B824" i="3"/>
  <c r="S823" i="3"/>
  <c r="J820" i="2" s="1"/>
  <c r="Q823" i="3"/>
  <c r="L823" i="3"/>
  <c r="K823" i="3"/>
  <c r="I823" i="3"/>
  <c r="P823" i="3"/>
  <c r="N823" i="3"/>
  <c r="H823" i="3"/>
  <c r="F823" i="3"/>
  <c r="D823" i="3"/>
  <c r="B823" i="3"/>
  <c r="S822" i="3"/>
  <c r="J819" i="2" s="1"/>
  <c r="Q822" i="3"/>
  <c r="L822" i="3"/>
  <c r="K822" i="3"/>
  <c r="I822" i="3"/>
  <c r="P822" i="3"/>
  <c r="N822" i="3"/>
  <c r="H822" i="3"/>
  <c r="F822" i="3"/>
  <c r="D822" i="3"/>
  <c r="B822" i="3"/>
  <c r="S821" i="3"/>
  <c r="J818" i="2" s="1"/>
  <c r="Q821" i="3"/>
  <c r="L821" i="3"/>
  <c r="K821" i="3"/>
  <c r="I821" i="3"/>
  <c r="P821" i="3"/>
  <c r="N821" i="3"/>
  <c r="H821" i="3"/>
  <c r="F821" i="3"/>
  <c r="D821" i="3"/>
  <c r="B821" i="3"/>
  <c r="S820" i="3"/>
  <c r="J817" i="2" s="1"/>
  <c r="Q820" i="3"/>
  <c r="L820" i="3"/>
  <c r="K820" i="3"/>
  <c r="I820" i="3"/>
  <c r="P820" i="3"/>
  <c r="N820" i="3"/>
  <c r="H820" i="3"/>
  <c r="F820" i="3"/>
  <c r="D820" i="3"/>
  <c r="B820" i="3"/>
  <c r="S819" i="3"/>
  <c r="J816" i="2" s="1"/>
  <c r="Q819" i="3"/>
  <c r="L819" i="3"/>
  <c r="K819" i="3"/>
  <c r="I819" i="3"/>
  <c r="P819" i="3"/>
  <c r="N819" i="3"/>
  <c r="H819" i="3"/>
  <c r="F819" i="3"/>
  <c r="D819" i="3"/>
  <c r="B819" i="3"/>
  <c r="S818" i="3"/>
  <c r="J815" i="2" s="1"/>
  <c r="Q818" i="3"/>
  <c r="L818" i="3"/>
  <c r="K818" i="3"/>
  <c r="I818" i="3"/>
  <c r="P818" i="3"/>
  <c r="N818" i="3"/>
  <c r="H818" i="3"/>
  <c r="F818" i="3"/>
  <c r="D818" i="3"/>
  <c r="B818" i="3"/>
  <c r="S817" i="3"/>
  <c r="J814" i="2" s="1"/>
  <c r="Q817" i="3"/>
  <c r="L817" i="3"/>
  <c r="K817" i="3"/>
  <c r="I817" i="3"/>
  <c r="P817" i="3"/>
  <c r="N817" i="3"/>
  <c r="H817" i="3"/>
  <c r="F817" i="3"/>
  <c r="D817" i="3"/>
  <c r="B817" i="3"/>
  <c r="S816" i="3"/>
  <c r="J813" i="2" s="1"/>
  <c r="Q816" i="3"/>
  <c r="L816" i="3"/>
  <c r="K816" i="3"/>
  <c r="I816" i="3"/>
  <c r="P816" i="3"/>
  <c r="N816" i="3"/>
  <c r="H816" i="3"/>
  <c r="F816" i="3"/>
  <c r="D816" i="3"/>
  <c r="B816" i="3"/>
  <c r="S815" i="3"/>
  <c r="J812" i="2" s="1"/>
  <c r="Q815" i="3"/>
  <c r="L815" i="3"/>
  <c r="K815" i="3"/>
  <c r="I815" i="3"/>
  <c r="P815" i="3"/>
  <c r="N815" i="3"/>
  <c r="H815" i="3"/>
  <c r="F815" i="3"/>
  <c r="D815" i="3"/>
  <c r="B815" i="3"/>
  <c r="S814" i="3"/>
  <c r="J811" i="2" s="1"/>
  <c r="Q814" i="3"/>
  <c r="L814" i="3"/>
  <c r="K814" i="3"/>
  <c r="I814" i="3"/>
  <c r="P814" i="3"/>
  <c r="N814" i="3"/>
  <c r="H814" i="3"/>
  <c r="F814" i="3"/>
  <c r="D814" i="3"/>
  <c r="B814" i="3"/>
  <c r="S813" i="3"/>
  <c r="J810" i="2" s="1"/>
  <c r="Q813" i="3"/>
  <c r="L813" i="3"/>
  <c r="K813" i="3"/>
  <c r="I813" i="3"/>
  <c r="P813" i="3"/>
  <c r="N813" i="3"/>
  <c r="H813" i="3"/>
  <c r="F813" i="3"/>
  <c r="D813" i="3"/>
  <c r="B813" i="3"/>
  <c r="S812" i="3"/>
  <c r="J809" i="2" s="1"/>
  <c r="Q812" i="3"/>
  <c r="L812" i="3"/>
  <c r="K812" i="3"/>
  <c r="I812" i="3"/>
  <c r="P812" i="3"/>
  <c r="N812" i="3"/>
  <c r="H812" i="3"/>
  <c r="F812" i="3"/>
  <c r="D812" i="3"/>
  <c r="B812" i="3"/>
  <c r="S811" i="3"/>
  <c r="J808" i="2" s="1"/>
  <c r="Q811" i="3"/>
  <c r="L811" i="3"/>
  <c r="K811" i="3"/>
  <c r="I811" i="3"/>
  <c r="P811" i="3"/>
  <c r="N811" i="3"/>
  <c r="H811" i="3"/>
  <c r="F811" i="3"/>
  <c r="D811" i="3"/>
  <c r="B811" i="3"/>
  <c r="S810" i="3"/>
  <c r="J807" i="2" s="1"/>
  <c r="Q810" i="3"/>
  <c r="L810" i="3"/>
  <c r="K810" i="3"/>
  <c r="I810" i="3"/>
  <c r="P810" i="3"/>
  <c r="N810" i="3"/>
  <c r="H810" i="3"/>
  <c r="F810" i="3"/>
  <c r="D810" i="3"/>
  <c r="B810" i="3"/>
  <c r="S809" i="3"/>
  <c r="J806" i="2" s="1"/>
  <c r="Q809" i="3"/>
  <c r="L809" i="3"/>
  <c r="K809" i="3"/>
  <c r="I809" i="3"/>
  <c r="P809" i="3"/>
  <c r="N809" i="3"/>
  <c r="H809" i="3"/>
  <c r="F809" i="3"/>
  <c r="D809" i="3"/>
  <c r="B809" i="3"/>
  <c r="S808" i="3"/>
  <c r="J805" i="2" s="1"/>
  <c r="Q808" i="3"/>
  <c r="L808" i="3"/>
  <c r="K808" i="3"/>
  <c r="I808" i="3"/>
  <c r="P808" i="3"/>
  <c r="N808" i="3"/>
  <c r="H808" i="3"/>
  <c r="F808" i="3"/>
  <c r="D808" i="3"/>
  <c r="B808" i="3"/>
  <c r="S807" i="3"/>
  <c r="J804" i="2" s="1"/>
  <c r="Q807" i="3"/>
  <c r="L807" i="3"/>
  <c r="K807" i="3"/>
  <c r="I807" i="3"/>
  <c r="P807" i="3"/>
  <c r="N807" i="3"/>
  <c r="H807" i="3"/>
  <c r="F807" i="3"/>
  <c r="D807" i="3"/>
  <c r="B807" i="3"/>
  <c r="S806" i="3"/>
  <c r="J803" i="2" s="1"/>
  <c r="Q806" i="3"/>
  <c r="L806" i="3"/>
  <c r="K806" i="3"/>
  <c r="I806" i="3"/>
  <c r="P806" i="3"/>
  <c r="N806" i="3"/>
  <c r="H806" i="3"/>
  <c r="F806" i="3"/>
  <c r="D806" i="3"/>
  <c r="B806" i="3"/>
  <c r="S805" i="3"/>
  <c r="J802" i="2" s="1"/>
  <c r="Q805" i="3"/>
  <c r="L805" i="3"/>
  <c r="K805" i="3"/>
  <c r="I805" i="3"/>
  <c r="P805" i="3"/>
  <c r="N805" i="3"/>
  <c r="H805" i="3"/>
  <c r="F805" i="3"/>
  <c r="D805" i="3"/>
  <c r="B805" i="3"/>
  <c r="S804" i="3"/>
  <c r="J801" i="2" s="1"/>
  <c r="Q804" i="3"/>
  <c r="L804" i="3"/>
  <c r="K804" i="3"/>
  <c r="I804" i="3"/>
  <c r="P804" i="3"/>
  <c r="N804" i="3"/>
  <c r="H804" i="3"/>
  <c r="F804" i="3"/>
  <c r="D804" i="3"/>
  <c r="B804" i="3"/>
  <c r="S803" i="3"/>
  <c r="J800" i="2" s="1"/>
  <c r="Q803" i="3"/>
  <c r="L803" i="3"/>
  <c r="K803" i="3"/>
  <c r="I803" i="3"/>
  <c r="P803" i="3"/>
  <c r="N803" i="3"/>
  <c r="H803" i="3"/>
  <c r="F803" i="3"/>
  <c r="D803" i="3"/>
  <c r="B803" i="3"/>
  <c r="S802" i="3"/>
  <c r="J799" i="2" s="1"/>
  <c r="Q802" i="3"/>
  <c r="L802" i="3"/>
  <c r="K802" i="3"/>
  <c r="I802" i="3"/>
  <c r="P802" i="3"/>
  <c r="N802" i="3"/>
  <c r="H802" i="3"/>
  <c r="F802" i="3"/>
  <c r="D802" i="3"/>
  <c r="B802" i="3"/>
  <c r="S801" i="3"/>
  <c r="J798" i="2" s="1"/>
  <c r="Q801" i="3"/>
  <c r="L801" i="3"/>
  <c r="K801" i="3"/>
  <c r="I801" i="3"/>
  <c r="P801" i="3"/>
  <c r="N801" i="3"/>
  <c r="H801" i="3"/>
  <c r="F801" i="3"/>
  <c r="D801" i="3"/>
  <c r="B801" i="3"/>
  <c r="S800" i="3"/>
  <c r="J797" i="2" s="1"/>
  <c r="Q800" i="3"/>
  <c r="L800" i="3"/>
  <c r="K800" i="3"/>
  <c r="I800" i="3"/>
  <c r="P800" i="3"/>
  <c r="N800" i="3"/>
  <c r="H800" i="3"/>
  <c r="F800" i="3"/>
  <c r="D800" i="3"/>
  <c r="B800" i="3"/>
  <c r="S799" i="3"/>
  <c r="J796" i="2" s="1"/>
  <c r="Q799" i="3"/>
  <c r="L799" i="3"/>
  <c r="K799" i="3"/>
  <c r="I799" i="3"/>
  <c r="P799" i="3"/>
  <c r="N799" i="3"/>
  <c r="H799" i="3"/>
  <c r="F799" i="3"/>
  <c r="D799" i="3"/>
  <c r="B799" i="3"/>
  <c r="S798" i="3"/>
  <c r="J795" i="2" s="1"/>
  <c r="Q798" i="3"/>
  <c r="L798" i="3"/>
  <c r="K798" i="3"/>
  <c r="I798" i="3"/>
  <c r="P798" i="3"/>
  <c r="N798" i="3"/>
  <c r="H798" i="3"/>
  <c r="F798" i="3"/>
  <c r="D798" i="3"/>
  <c r="B798" i="3"/>
  <c r="S797" i="3"/>
  <c r="J794" i="2" s="1"/>
  <c r="Q797" i="3"/>
  <c r="L797" i="3"/>
  <c r="K797" i="3"/>
  <c r="I797" i="3"/>
  <c r="P797" i="3"/>
  <c r="N797" i="3"/>
  <c r="H797" i="3"/>
  <c r="F797" i="3"/>
  <c r="D797" i="3"/>
  <c r="B797" i="3"/>
  <c r="S796" i="3"/>
  <c r="J793" i="2" s="1"/>
  <c r="Q796" i="3"/>
  <c r="L796" i="3"/>
  <c r="K796" i="3"/>
  <c r="I796" i="3"/>
  <c r="P796" i="3"/>
  <c r="N796" i="3"/>
  <c r="H796" i="3"/>
  <c r="F796" i="3"/>
  <c r="D796" i="3"/>
  <c r="B796" i="3"/>
  <c r="S795" i="3"/>
  <c r="J792" i="2" s="1"/>
  <c r="Q795" i="3"/>
  <c r="L795" i="3"/>
  <c r="K795" i="3"/>
  <c r="I795" i="3"/>
  <c r="P795" i="3"/>
  <c r="N795" i="3"/>
  <c r="H795" i="3"/>
  <c r="F795" i="3"/>
  <c r="D795" i="3"/>
  <c r="B795" i="3"/>
  <c r="S794" i="3"/>
  <c r="J791" i="2" s="1"/>
  <c r="Q794" i="3"/>
  <c r="L794" i="3"/>
  <c r="K794" i="3"/>
  <c r="I794" i="3"/>
  <c r="P794" i="3"/>
  <c r="N794" i="3"/>
  <c r="H794" i="3"/>
  <c r="F794" i="3"/>
  <c r="D794" i="3"/>
  <c r="B794" i="3"/>
  <c r="S793" i="3"/>
  <c r="J790" i="2" s="1"/>
  <c r="Q793" i="3"/>
  <c r="L793" i="3"/>
  <c r="K793" i="3"/>
  <c r="I793" i="3"/>
  <c r="P793" i="3"/>
  <c r="N793" i="3"/>
  <c r="H793" i="3"/>
  <c r="F793" i="3"/>
  <c r="D793" i="3"/>
  <c r="B793" i="3"/>
  <c r="S792" i="3"/>
  <c r="J789" i="2" s="1"/>
  <c r="Q792" i="3"/>
  <c r="L792" i="3"/>
  <c r="K792" i="3"/>
  <c r="I792" i="3"/>
  <c r="P792" i="3"/>
  <c r="N792" i="3"/>
  <c r="H792" i="3"/>
  <c r="F792" i="3"/>
  <c r="D792" i="3"/>
  <c r="B792" i="3"/>
  <c r="S791" i="3"/>
  <c r="J788" i="2" s="1"/>
  <c r="Q791" i="3"/>
  <c r="L791" i="3"/>
  <c r="K791" i="3"/>
  <c r="I791" i="3"/>
  <c r="P791" i="3"/>
  <c r="N791" i="3"/>
  <c r="H791" i="3"/>
  <c r="F791" i="3"/>
  <c r="D791" i="3"/>
  <c r="B791" i="3"/>
  <c r="S790" i="3"/>
  <c r="J787" i="2" s="1"/>
  <c r="Q790" i="3"/>
  <c r="L790" i="3"/>
  <c r="K790" i="3"/>
  <c r="I790" i="3"/>
  <c r="P790" i="3"/>
  <c r="N790" i="3"/>
  <c r="H790" i="3"/>
  <c r="F790" i="3"/>
  <c r="D790" i="3"/>
  <c r="B790" i="3"/>
  <c r="S789" i="3"/>
  <c r="J786" i="2" s="1"/>
  <c r="Q789" i="3"/>
  <c r="L789" i="3"/>
  <c r="K789" i="3"/>
  <c r="I789" i="3"/>
  <c r="P789" i="3"/>
  <c r="N789" i="3"/>
  <c r="H789" i="3"/>
  <c r="F789" i="3"/>
  <c r="D789" i="3"/>
  <c r="B789" i="3"/>
  <c r="S788" i="3"/>
  <c r="J785" i="2" s="1"/>
  <c r="Q788" i="3"/>
  <c r="L788" i="3"/>
  <c r="K788" i="3"/>
  <c r="I788" i="3"/>
  <c r="P788" i="3"/>
  <c r="N788" i="3"/>
  <c r="H788" i="3"/>
  <c r="F788" i="3"/>
  <c r="D788" i="3"/>
  <c r="B788" i="3"/>
  <c r="S787" i="3"/>
  <c r="J784" i="2" s="1"/>
  <c r="Q787" i="3"/>
  <c r="L787" i="3"/>
  <c r="K787" i="3"/>
  <c r="I787" i="3"/>
  <c r="P787" i="3"/>
  <c r="N787" i="3"/>
  <c r="H787" i="3"/>
  <c r="F787" i="3"/>
  <c r="D787" i="3"/>
  <c r="B787" i="3"/>
  <c r="S786" i="3"/>
  <c r="J783" i="2" s="1"/>
  <c r="Q786" i="3"/>
  <c r="L786" i="3"/>
  <c r="K786" i="3"/>
  <c r="I786" i="3"/>
  <c r="P786" i="3"/>
  <c r="N786" i="3"/>
  <c r="H786" i="3"/>
  <c r="F786" i="3"/>
  <c r="D786" i="3"/>
  <c r="B786" i="3"/>
  <c r="S785" i="3"/>
  <c r="J782" i="2" s="1"/>
  <c r="Q785" i="3"/>
  <c r="L785" i="3"/>
  <c r="K785" i="3"/>
  <c r="I785" i="3"/>
  <c r="P785" i="3"/>
  <c r="N785" i="3"/>
  <c r="H785" i="3"/>
  <c r="F785" i="3"/>
  <c r="D785" i="3"/>
  <c r="B785" i="3"/>
  <c r="S784" i="3"/>
  <c r="J781" i="2" s="1"/>
  <c r="Q784" i="3"/>
  <c r="L784" i="3"/>
  <c r="K784" i="3"/>
  <c r="I784" i="3"/>
  <c r="P784" i="3"/>
  <c r="N784" i="3"/>
  <c r="H784" i="3"/>
  <c r="F784" i="3"/>
  <c r="D784" i="3"/>
  <c r="B784" i="3"/>
  <c r="S783" i="3"/>
  <c r="J780" i="2" s="1"/>
  <c r="Q783" i="3"/>
  <c r="L783" i="3"/>
  <c r="K783" i="3"/>
  <c r="I783" i="3"/>
  <c r="P783" i="3"/>
  <c r="N783" i="3"/>
  <c r="H783" i="3"/>
  <c r="F783" i="3"/>
  <c r="D783" i="3"/>
  <c r="B783" i="3"/>
  <c r="S782" i="3"/>
  <c r="J779" i="2" s="1"/>
  <c r="Q782" i="3"/>
  <c r="L782" i="3"/>
  <c r="K782" i="3"/>
  <c r="I782" i="3"/>
  <c r="P782" i="3"/>
  <c r="N782" i="3"/>
  <c r="H782" i="3"/>
  <c r="F782" i="3"/>
  <c r="D782" i="3"/>
  <c r="B782" i="3"/>
  <c r="S781" i="3"/>
  <c r="J778" i="2" s="1"/>
  <c r="Q781" i="3"/>
  <c r="L781" i="3"/>
  <c r="K781" i="3"/>
  <c r="I781" i="3"/>
  <c r="P781" i="3"/>
  <c r="N781" i="3"/>
  <c r="H781" i="3"/>
  <c r="F781" i="3"/>
  <c r="D781" i="3"/>
  <c r="B781" i="3"/>
  <c r="S780" i="3"/>
  <c r="J777" i="2" s="1"/>
  <c r="Q780" i="3"/>
  <c r="L780" i="3"/>
  <c r="K780" i="3"/>
  <c r="I780" i="3"/>
  <c r="P780" i="3"/>
  <c r="N780" i="3"/>
  <c r="H780" i="3"/>
  <c r="F780" i="3"/>
  <c r="D780" i="3"/>
  <c r="B780" i="3"/>
  <c r="S779" i="3"/>
  <c r="J776" i="2" s="1"/>
  <c r="Q779" i="3"/>
  <c r="L779" i="3"/>
  <c r="K779" i="3"/>
  <c r="I779" i="3"/>
  <c r="P779" i="3"/>
  <c r="N779" i="3"/>
  <c r="H779" i="3"/>
  <c r="F779" i="3"/>
  <c r="D779" i="3"/>
  <c r="B779" i="3"/>
  <c r="S778" i="3"/>
  <c r="J775" i="2" s="1"/>
  <c r="Q778" i="3"/>
  <c r="L778" i="3"/>
  <c r="K778" i="3"/>
  <c r="I778" i="3"/>
  <c r="P778" i="3"/>
  <c r="N778" i="3"/>
  <c r="H778" i="3"/>
  <c r="F778" i="3"/>
  <c r="D778" i="3"/>
  <c r="B778" i="3"/>
  <c r="S777" i="3"/>
  <c r="J774" i="2" s="1"/>
  <c r="Q777" i="3"/>
  <c r="L777" i="3"/>
  <c r="K777" i="3"/>
  <c r="I777" i="3"/>
  <c r="P777" i="3"/>
  <c r="N777" i="3"/>
  <c r="H777" i="3"/>
  <c r="F777" i="3"/>
  <c r="D777" i="3"/>
  <c r="B777" i="3"/>
  <c r="S776" i="3"/>
  <c r="J773" i="2" s="1"/>
  <c r="Q776" i="3"/>
  <c r="L776" i="3"/>
  <c r="K776" i="3"/>
  <c r="I776" i="3"/>
  <c r="P776" i="3"/>
  <c r="N776" i="3"/>
  <c r="H776" i="3"/>
  <c r="F776" i="3"/>
  <c r="D776" i="3"/>
  <c r="B776" i="3"/>
  <c r="S775" i="3"/>
  <c r="J772" i="2" s="1"/>
  <c r="Q775" i="3"/>
  <c r="L775" i="3"/>
  <c r="K775" i="3"/>
  <c r="I775" i="3"/>
  <c r="P775" i="3"/>
  <c r="N775" i="3"/>
  <c r="H775" i="3"/>
  <c r="F775" i="3"/>
  <c r="D775" i="3"/>
  <c r="B775" i="3"/>
  <c r="S774" i="3"/>
  <c r="J771" i="2" s="1"/>
  <c r="Q774" i="3"/>
  <c r="L774" i="3"/>
  <c r="K774" i="3"/>
  <c r="I774" i="3"/>
  <c r="P774" i="3"/>
  <c r="N774" i="3"/>
  <c r="H774" i="3"/>
  <c r="F774" i="3"/>
  <c r="D774" i="3"/>
  <c r="B774" i="3"/>
  <c r="S773" i="3"/>
  <c r="J770" i="2" s="1"/>
  <c r="Q773" i="3"/>
  <c r="L773" i="3"/>
  <c r="K773" i="3"/>
  <c r="I773" i="3"/>
  <c r="P773" i="3"/>
  <c r="N773" i="3"/>
  <c r="H773" i="3"/>
  <c r="F773" i="3"/>
  <c r="D773" i="3"/>
  <c r="B773" i="3"/>
  <c r="S772" i="3"/>
  <c r="J769" i="2" s="1"/>
  <c r="Q772" i="3"/>
  <c r="L772" i="3"/>
  <c r="K772" i="3"/>
  <c r="I772" i="3"/>
  <c r="P772" i="3"/>
  <c r="N772" i="3"/>
  <c r="H772" i="3"/>
  <c r="F772" i="3"/>
  <c r="D772" i="3"/>
  <c r="B772" i="3"/>
  <c r="S771" i="3"/>
  <c r="J768" i="2" s="1"/>
  <c r="Q771" i="3"/>
  <c r="L771" i="3"/>
  <c r="K771" i="3"/>
  <c r="I771" i="3"/>
  <c r="P771" i="3"/>
  <c r="N771" i="3"/>
  <c r="H771" i="3"/>
  <c r="F771" i="3"/>
  <c r="D771" i="3"/>
  <c r="B771" i="3"/>
  <c r="S770" i="3"/>
  <c r="J767" i="2" s="1"/>
  <c r="Q770" i="3"/>
  <c r="L770" i="3"/>
  <c r="K770" i="3"/>
  <c r="I770" i="3"/>
  <c r="P770" i="3"/>
  <c r="N770" i="3"/>
  <c r="H770" i="3"/>
  <c r="F770" i="3"/>
  <c r="D770" i="3"/>
  <c r="B770" i="3"/>
  <c r="S769" i="3"/>
  <c r="J766" i="2" s="1"/>
  <c r="Q769" i="3"/>
  <c r="L769" i="3"/>
  <c r="K769" i="3"/>
  <c r="I769" i="3"/>
  <c r="P769" i="3"/>
  <c r="N769" i="3"/>
  <c r="H769" i="3"/>
  <c r="F769" i="3"/>
  <c r="D769" i="3"/>
  <c r="B769" i="3"/>
  <c r="S768" i="3"/>
  <c r="J765" i="2" s="1"/>
  <c r="Q768" i="3"/>
  <c r="L768" i="3"/>
  <c r="K768" i="3"/>
  <c r="I768" i="3"/>
  <c r="P768" i="3"/>
  <c r="N768" i="3"/>
  <c r="H768" i="3"/>
  <c r="F768" i="3"/>
  <c r="D768" i="3"/>
  <c r="B768" i="3"/>
  <c r="S767" i="3"/>
  <c r="J764" i="2" s="1"/>
  <c r="Q767" i="3"/>
  <c r="L767" i="3"/>
  <c r="K767" i="3"/>
  <c r="I767" i="3"/>
  <c r="P767" i="3"/>
  <c r="N767" i="3"/>
  <c r="H767" i="3"/>
  <c r="F767" i="3"/>
  <c r="D767" i="3"/>
  <c r="B767" i="3"/>
  <c r="S766" i="3"/>
  <c r="J763" i="2" s="1"/>
  <c r="Q766" i="3"/>
  <c r="L766" i="3"/>
  <c r="K766" i="3"/>
  <c r="I766" i="3"/>
  <c r="P766" i="3"/>
  <c r="N766" i="3"/>
  <c r="H766" i="3"/>
  <c r="F766" i="3"/>
  <c r="D766" i="3"/>
  <c r="B766" i="3"/>
  <c r="S765" i="3"/>
  <c r="J762" i="2" s="1"/>
  <c r="Q765" i="3"/>
  <c r="L765" i="3"/>
  <c r="K765" i="3"/>
  <c r="I765" i="3"/>
  <c r="P765" i="3"/>
  <c r="N765" i="3"/>
  <c r="H765" i="3"/>
  <c r="F765" i="3"/>
  <c r="D765" i="3"/>
  <c r="B765" i="3"/>
  <c r="S764" i="3"/>
  <c r="J761" i="2" s="1"/>
  <c r="Q764" i="3"/>
  <c r="L764" i="3"/>
  <c r="K764" i="3"/>
  <c r="I764" i="3"/>
  <c r="P764" i="3"/>
  <c r="N764" i="3"/>
  <c r="H764" i="3"/>
  <c r="F764" i="3"/>
  <c r="D764" i="3"/>
  <c r="B764" i="3"/>
  <c r="S763" i="3"/>
  <c r="J760" i="2" s="1"/>
  <c r="Q763" i="3"/>
  <c r="L763" i="3"/>
  <c r="K763" i="3"/>
  <c r="I763" i="3"/>
  <c r="P763" i="3"/>
  <c r="N763" i="3"/>
  <c r="H763" i="3"/>
  <c r="F763" i="3"/>
  <c r="D763" i="3"/>
  <c r="B763" i="3"/>
  <c r="S762" i="3"/>
  <c r="J759" i="2" s="1"/>
  <c r="Q762" i="3"/>
  <c r="L762" i="3"/>
  <c r="K762" i="3"/>
  <c r="I762" i="3"/>
  <c r="P762" i="3"/>
  <c r="N762" i="3"/>
  <c r="H762" i="3"/>
  <c r="F762" i="3"/>
  <c r="D762" i="3"/>
  <c r="B762" i="3"/>
  <c r="S761" i="3"/>
  <c r="J758" i="2" s="1"/>
  <c r="Q761" i="3"/>
  <c r="L761" i="3"/>
  <c r="K761" i="3"/>
  <c r="I761" i="3"/>
  <c r="P761" i="3"/>
  <c r="N761" i="3"/>
  <c r="H761" i="3"/>
  <c r="F761" i="3"/>
  <c r="D761" i="3"/>
  <c r="B761" i="3"/>
  <c r="S760" i="3"/>
  <c r="J757" i="2" s="1"/>
  <c r="Q760" i="3"/>
  <c r="L760" i="3"/>
  <c r="K760" i="3"/>
  <c r="I760" i="3"/>
  <c r="P760" i="3"/>
  <c r="N760" i="3"/>
  <c r="H760" i="3"/>
  <c r="F760" i="3"/>
  <c r="D760" i="3"/>
  <c r="B760" i="3"/>
  <c r="S759" i="3"/>
  <c r="J756" i="2" s="1"/>
  <c r="Q759" i="3"/>
  <c r="L759" i="3"/>
  <c r="K759" i="3"/>
  <c r="I759" i="3"/>
  <c r="P759" i="3"/>
  <c r="N759" i="3"/>
  <c r="H759" i="3"/>
  <c r="F759" i="3"/>
  <c r="D759" i="3"/>
  <c r="B759" i="3"/>
  <c r="S758" i="3"/>
  <c r="J755" i="2" s="1"/>
  <c r="Q758" i="3"/>
  <c r="L758" i="3"/>
  <c r="K758" i="3"/>
  <c r="I758" i="3"/>
  <c r="P758" i="3"/>
  <c r="N758" i="3"/>
  <c r="H758" i="3"/>
  <c r="F758" i="3"/>
  <c r="D758" i="3"/>
  <c r="B758" i="3"/>
  <c r="S757" i="3"/>
  <c r="J754" i="2" s="1"/>
  <c r="Q757" i="3"/>
  <c r="L757" i="3"/>
  <c r="K757" i="3"/>
  <c r="I757" i="3"/>
  <c r="P757" i="3"/>
  <c r="N757" i="3"/>
  <c r="H757" i="3"/>
  <c r="F757" i="3"/>
  <c r="D757" i="3"/>
  <c r="B757" i="3"/>
  <c r="S756" i="3"/>
  <c r="J753" i="2" s="1"/>
  <c r="Q756" i="3"/>
  <c r="L756" i="3"/>
  <c r="K756" i="3"/>
  <c r="I756" i="3"/>
  <c r="P756" i="3"/>
  <c r="N756" i="3"/>
  <c r="H756" i="3"/>
  <c r="F756" i="3"/>
  <c r="D756" i="3"/>
  <c r="B756" i="3"/>
  <c r="S755" i="3"/>
  <c r="J752" i="2" s="1"/>
  <c r="Q755" i="3"/>
  <c r="L755" i="3"/>
  <c r="K755" i="3"/>
  <c r="I755" i="3"/>
  <c r="P755" i="3"/>
  <c r="N755" i="3"/>
  <c r="H755" i="3"/>
  <c r="F755" i="3"/>
  <c r="D755" i="3"/>
  <c r="B755" i="3"/>
  <c r="S754" i="3"/>
  <c r="J751" i="2" s="1"/>
  <c r="Q754" i="3"/>
  <c r="L754" i="3"/>
  <c r="K754" i="3"/>
  <c r="I754" i="3"/>
  <c r="P754" i="3"/>
  <c r="N754" i="3"/>
  <c r="H754" i="3"/>
  <c r="F754" i="3"/>
  <c r="D754" i="3"/>
  <c r="B754" i="3"/>
  <c r="S753" i="3"/>
  <c r="J750" i="2" s="1"/>
  <c r="Q753" i="3"/>
  <c r="L753" i="3"/>
  <c r="K753" i="3"/>
  <c r="I753" i="3"/>
  <c r="P753" i="3"/>
  <c r="N753" i="3"/>
  <c r="H753" i="3"/>
  <c r="F753" i="3"/>
  <c r="D753" i="3"/>
  <c r="B753" i="3"/>
  <c r="S752" i="3"/>
  <c r="J749" i="2" s="1"/>
  <c r="Q752" i="3"/>
  <c r="L752" i="3"/>
  <c r="K752" i="3"/>
  <c r="I752" i="3"/>
  <c r="P752" i="3"/>
  <c r="N752" i="3"/>
  <c r="H752" i="3"/>
  <c r="F752" i="3"/>
  <c r="D752" i="3"/>
  <c r="B752" i="3"/>
  <c r="S751" i="3"/>
  <c r="J748" i="2" s="1"/>
  <c r="Q751" i="3"/>
  <c r="L751" i="3"/>
  <c r="K751" i="3"/>
  <c r="I751" i="3"/>
  <c r="P751" i="3"/>
  <c r="N751" i="3"/>
  <c r="H751" i="3"/>
  <c r="F751" i="3"/>
  <c r="D751" i="3"/>
  <c r="B751" i="3"/>
  <c r="S750" i="3"/>
  <c r="J747" i="2" s="1"/>
  <c r="Q750" i="3"/>
  <c r="L750" i="3"/>
  <c r="K750" i="3"/>
  <c r="I750" i="3"/>
  <c r="P750" i="3"/>
  <c r="N750" i="3"/>
  <c r="H750" i="3"/>
  <c r="F750" i="3"/>
  <c r="D750" i="3"/>
  <c r="B750" i="3"/>
  <c r="S749" i="3"/>
  <c r="J746" i="2" s="1"/>
  <c r="Q749" i="3"/>
  <c r="L749" i="3"/>
  <c r="K749" i="3"/>
  <c r="I749" i="3"/>
  <c r="P749" i="3"/>
  <c r="N749" i="3"/>
  <c r="H749" i="3"/>
  <c r="F749" i="3"/>
  <c r="D749" i="3"/>
  <c r="B749" i="3"/>
  <c r="S748" i="3"/>
  <c r="J745" i="2" s="1"/>
  <c r="Q748" i="3"/>
  <c r="L748" i="3"/>
  <c r="K748" i="3"/>
  <c r="I748" i="3"/>
  <c r="P748" i="3"/>
  <c r="N748" i="3"/>
  <c r="H748" i="3"/>
  <c r="F748" i="3"/>
  <c r="D748" i="3"/>
  <c r="B748" i="3"/>
  <c r="S747" i="3"/>
  <c r="J744" i="2" s="1"/>
  <c r="Q747" i="3"/>
  <c r="L747" i="3"/>
  <c r="K747" i="3"/>
  <c r="I747" i="3"/>
  <c r="P747" i="3"/>
  <c r="N747" i="3"/>
  <c r="H747" i="3"/>
  <c r="F747" i="3"/>
  <c r="D747" i="3"/>
  <c r="B747" i="3"/>
  <c r="S746" i="3"/>
  <c r="J743" i="2" s="1"/>
  <c r="Q746" i="3"/>
  <c r="L746" i="3"/>
  <c r="K746" i="3"/>
  <c r="I746" i="3"/>
  <c r="P746" i="3"/>
  <c r="N746" i="3"/>
  <c r="H746" i="3"/>
  <c r="F746" i="3"/>
  <c r="D746" i="3"/>
  <c r="B746" i="3"/>
  <c r="S745" i="3"/>
  <c r="J742" i="2" s="1"/>
  <c r="Q745" i="3"/>
  <c r="L745" i="3"/>
  <c r="K745" i="3"/>
  <c r="I745" i="3"/>
  <c r="P745" i="3"/>
  <c r="N745" i="3"/>
  <c r="H745" i="3"/>
  <c r="F745" i="3"/>
  <c r="D745" i="3"/>
  <c r="B745" i="3"/>
  <c r="S744" i="3"/>
  <c r="J741" i="2" s="1"/>
  <c r="Q744" i="3"/>
  <c r="L744" i="3"/>
  <c r="K744" i="3"/>
  <c r="I744" i="3"/>
  <c r="P744" i="3"/>
  <c r="N744" i="3"/>
  <c r="H744" i="3"/>
  <c r="F744" i="3"/>
  <c r="D744" i="3"/>
  <c r="B744" i="3"/>
  <c r="S743" i="3"/>
  <c r="J740" i="2" s="1"/>
  <c r="Q743" i="3"/>
  <c r="L743" i="3"/>
  <c r="K743" i="3"/>
  <c r="I743" i="3"/>
  <c r="P743" i="3"/>
  <c r="N743" i="3"/>
  <c r="H743" i="3"/>
  <c r="F743" i="3"/>
  <c r="D743" i="3"/>
  <c r="B743" i="3"/>
  <c r="S742" i="3"/>
  <c r="J739" i="2" s="1"/>
  <c r="Q742" i="3"/>
  <c r="L742" i="3"/>
  <c r="K742" i="3"/>
  <c r="I742" i="3"/>
  <c r="P742" i="3"/>
  <c r="N742" i="3"/>
  <c r="H742" i="3"/>
  <c r="F742" i="3"/>
  <c r="D742" i="3"/>
  <c r="B742" i="3"/>
  <c r="S741" i="3"/>
  <c r="J738" i="2" s="1"/>
  <c r="Q741" i="3"/>
  <c r="L741" i="3"/>
  <c r="K741" i="3"/>
  <c r="I741" i="3"/>
  <c r="P741" i="3"/>
  <c r="N741" i="3"/>
  <c r="H741" i="3"/>
  <c r="F741" i="3"/>
  <c r="D741" i="3"/>
  <c r="B741" i="3"/>
  <c r="S740" i="3"/>
  <c r="J737" i="2" s="1"/>
  <c r="Q740" i="3"/>
  <c r="L740" i="3"/>
  <c r="K740" i="3"/>
  <c r="I740" i="3"/>
  <c r="P740" i="3"/>
  <c r="N740" i="3"/>
  <c r="H740" i="3"/>
  <c r="F740" i="3"/>
  <c r="D740" i="3"/>
  <c r="B740" i="3"/>
  <c r="S739" i="3"/>
  <c r="J736" i="2" s="1"/>
  <c r="Q739" i="3"/>
  <c r="L739" i="3"/>
  <c r="K739" i="3"/>
  <c r="I739" i="3"/>
  <c r="P739" i="3"/>
  <c r="N739" i="3"/>
  <c r="H739" i="3"/>
  <c r="F739" i="3"/>
  <c r="D739" i="3"/>
  <c r="B739" i="3"/>
  <c r="S738" i="3"/>
  <c r="J735" i="2" s="1"/>
  <c r="Q738" i="3"/>
  <c r="L738" i="3"/>
  <c r="K738" i="3"/>
  <c r="I738" i="3"/>
  <c r="P738" i="3"/>
  <c r="N738" i="3"/>
  <c r="H738" i="3"/>
  <c r="F738" i="3"/>
  <c r="D738" i="3"/>
  <c r="B738" i="3"/>
  <c r="S737" i="3"/>
  <c r="J734" i="2" s="1"/>
  <c r="Q737" i="3"/>
  <c r="L737" i="3"/>
  <c r="K737" i="3"/>
  <c r="I737" i="3"/>
  <c r="P737" i="3"/>
  <c r="N737" i="3"/>
  <c r="H737" i="3"/>
  <c r="F737" i="3"/>
  <c r="D737" i="3"/>
  <c r="B737" i="3"/>
  <c r="S736" i="3"/>
  <c r="J733" i="2" s="1"/>
  <c r="Q736" i="3"/>
  <c r="L736" i="3"/>
  <c r="K736" i="3"/>
  <c r="I736" i="3"/>
  <c r="P736" i="3"/>
  <c r="N736" i="3"/>
  <c r="H736" i="3"/>
  <c r="F736" i="3"/>
  <c r="D736" i="3"/>
  <c r="B736" i="3"/>
  <c r="S735" i="3"/>
  <c r="J732" i="2" s="1"/>
  <c r="Q735" i="3"/>
  <c r="L735" i="3"/>
  <c r="K735" i="3"/>
  <c r="I735" i="3"/>
  <c r="P735" i="3"/>
  <c r="N735" i="3"/>
  <c r="H735" i="3"/>
  <c r="F735" i="3"/>
  <c r="D735" i="3"/>
  <c r="B735" i="3"/>
  <c r="S734" i="3"/>
  <c r="J731" i="2" s="1"/>
  <c r="Q734" i="3"/>
  <c r="L734" i="3"/>
  <c r="K734" i="3"/>
  <c r="I734" i="3"/>
  <c r="P734" i="3"/>
  <c r="N734" i="3"/>
  <c r="H734" i="3"/>
  <c r="F734" i="3"/>
  <c r="D734" i="3"/>
  <c r="B734" i="3"/>
  <c r="S733" i="3"/>
  <c r="J730" i="2" s="1"/>
  <c r="Q733" i="3"/>
  <c r="L733" i="3"/>
  <c r="K733" i="3"/>
  <c r="I733" i="3"/>
  <c r="P733" i="3"/>
  <c r="N733" i="3"/>
  <c r="H733" i="3"/>
  <c r="F733" i="3"/>
  <c r="D733" i="3"/>
  <c r="B733" i="3"/>
  <c r="S732" i="3"/>
  <c r="J729" i="2" s="1"/>
  <c r="Q732" i="3"/>
  <c r="L732" i="3"/>
  <c r="K732" i="3"/>
  <c r="I732" i="3"/>
  <c r="P732" i="3"/>
  <c r="N732" i="3"/>
  <c r="H732" i="3"/>
  <c r="F732" i="3"/>
  <c r="D732" i="3"/>
  <c r="B732" i="3"/>
  <c r="S731" i="3"/>
  <c r="J728" i="2" s="1"/>
  <c r="Q731" i="3"/>
  <c r="L731" i="3"/>
  <c r="K731" i="3"/>
  <c r="I731" i="3"/>
  <c r="P731" i="3"/>
  <c r="N731" i="3"/>
  <c r="H731" i="3"/>
  <c r="F731" i="3"/>
  <c r="D731" i="3"/>
  <c r="B731" i="3"/>
  <c r="S730" i="3"/>
  <c r="J727" i="2" s="1"/>
  <c r="Q730" i="3"/>
  <c r="L730" i="3"/>
  <c r="K730" i="3"/>
  <c r="I730" i="3"/>
  <c r="P730" i="3"/>
  <c r="N730" i="3"/>
  <c r="H730" i="3"/>
  <c r="F730" i="3"/>
  <c r="D730" i="3"/>
  <c r="B730" i="3"/>
  <c r="S729" i="3"/>
  <c r="J726" i="2" s="1"/>
  <c r="Q729" i="3"/>
  <c r="L729" i="3"/>
  <c r="K729" i="3"/>
  <c r="I729" i="3"/>
  <c r="P729" i="3"/>
  <c r="N729" i="3"/>
  <c r="H729" i="3"/>
  <c r="F729" i="3"/>
  <c r="D729" i="3"/>
  <c r="B729" i="3"/>
  <c r="S728" i="3"/>
  <c r="J725" i="2" s="1"/>
  <c r="Q728" i="3"/>
  <c r="L728" i="3"/>
  <c r="K728" i="3"/>
  <c r="I728" i="3"/>
  <c r="P728" i="3"/>
  <c r="N728" i="3"/>
  <c r="H728" i="3"/>
  <c r="F728" i="3"/>
  <c r="D728" i="3"/>
  <c r="B728" i="3"/>
  <c r="S727" i="3"/>
  <c r="J724" i="2" s="1"/>
  <c r="Q727" i="3"/>
  <c r="L727" i="3"/>
  <c r="K727" i="3"/>
  <c r="I727" i="3"/>
  <c r="P727" i="3"/>
  <c r="N727" i="3"/>
  <c r="H727" i="3"/>
  <c r="F727" i="3"/>
  <c r="D727" i="3"/>
  <c r="B727" i="3"/>
  <c r="S726" i="3"/>
  <c r="J723" i="2" s="1"/>
  <c r="Q726" i="3"/>
  <c r="L726" i="3"/>
  <c r="K726" i="3"/>
  <c r="I726" i="3"/>
  <c r="P726" i="3"/>
  <c r="N726" i="3"/>
  <c r="H726" i="3"/>
  <c r="F726" i="3"/>
  <c r="D726" i="3"/>
  <c r="B726" i="3"/>
  <c r="S725" i="3"/>
  <c r="J722" i="2" s="1"/>
  <c r="Q725" i="3"/>
  <c r="L725" i="3"/>
  <c r="K725" i="3"/>
  <c r="I725" i="3"/>
  <c r="P725" i="3"/>
  <c r="N725" i="3"/>
  <c r="H725" i="3"/>
  <c r="F725" i="3"/>
  <c r="D725" i="3"/>
  <c r="B725" i="3"/>
  <c r="S724" i="3"/>
  <c r="J721" i="2" s="1"/>
  <c r="Q724" i="3"/>
  <c r="L724" i="3"/>
  <c r="K724" i="3"/>
  <c r="I724" i="3"/>
  <c r="P724" i="3"/>
  <c r="N724" i="3"/>
  <c r="H724" i="3"/>
  <c r="F724" i="3"/>
  <c r="D724" i="3"/>
  <c r="B724" i="3"/>
  <c r="S723" i="3"/>
  <c r="J720" i="2" s="1"/>
  <c r="Q723" i="3"/>
  <c r="L723" i="3"/>
  <c r="K723" i="3"/>
  <c r="I723" i="3"/>
  <c r="P723" i="3"/>
  <c r="N723" i="3"/>
  <c r="H723" i="3"/>
  <c r="F723" i="3"/>
  <c r="D723" i="3"/>
  <c r="B723" i="3"/>
  <c r="S722" i="3"/>
  <c r="J719" i="2" s="1"/>
  <c r="Q722" i="3"/>
  <c r="L722" i="3"/>
  <c r="K722" i="3"/>
  <c r="I722" i="3"/>
  <c r="P722" i="3"/>
  <c r="N722" i="3"/>
  <c r="H722" i="3"/>
  <c r="F722" i="3"/>
  <c r="D722" i="3"/>
  <c r="B722" i="3"/>
  <c r="S721" i="3"/>
  <c r="J718" i="2" s="1"/>
  <c r="Q721" i="3"/>
  <c r="L721" i="3"/>
  <c r="K721" i="3"/>
  <c r="I721" i="3"/>
  <c r="P721" i="3"/>
  <c r="N721" i="3"/>
  <c r="H721" i="3"/>
  <c r="F721" i="3"/>
  <c r="D721" i="3"/>
  <c r="B721" i="3"/>
  <c r="S720" i="3"/>
  <c r="J717" i="2" s="1"/>
  <c r="Q720" i="3"/>
  <c r="L720" i="3"/>
  <c r="K720" i="3"/>
  <c r="I720" i="3"/>
  <c r="P720" i="3"/>
  <c r="N720" i="3"/>
  <c r="H720" i="3"/>
  <c r="F720" i="3"/>
  <c r="D720" i="3"/>
  <c r="B720" i="3"/>
  <c r="S719" i="3"/>
  <c r="J716" i="2" s="1"/>
  <c r="Q719" i="3"/>
  <c r="L719" i="3"/>
  <c r="K719" i="3"/>
  <c r="I719" i="3"/>
  <c r="P719" i="3"/>
  <c r="N719" i="3"/>
  <c r="H719" i="3"/>
  <c r="F719" i="3"/>
  <c r="D719" i="3"/>
  <c r="B719" i="3"/>
  <c r="S718" i="3"/>
  <c r="J715" i="2" s="1"/>
  <c r="Q718" i="3"/>
  <c r="L718" i="3"/>
  <c r="K718" i="3"/>
  <c r="I718" i="3"/>
  <c r="P718" i="3"/>
  <c r="N718" i="3"/>
  <c r="H718" i="3"/>
  <c r="F718" i="3"/>
  <c r="D718" i="3"/>
  <c r="B718" i="3"/>
  <c r="S717" i="3"/>
  <c r="J714" i="2" s="1"/>
  <c r="Q717" i="3"/>
  <c r="L717" i="3"/>
  <c r="K717" i="3"/>
  <c r="I717" i="3"/>
  <c r="P717" i="3"/>
  <c r="N717" i="3"/>
  <c r="H717" i="3"/>
  <c r="F717" i="3"/>
  <c r="D717" i="3"/>
  <c r="B717" i="3"/>
  <c r="S716" i="3"/>
  <c r="J713" i="2" s="1"/>
  <c r="Q716" i="3"/>
  <c r="L716" i="3"/>
  <c r="K716" i="3"/>
  <c r="I716" i="3"/>
  <c r="P716" i="3"/>
  <c r="N716" i="3"/>
  <c r="H716" i="3"/>
  <c r="F716" i="3"/>
  <c r="D716" i="3"/>
  <c r="B716" i="3"/>
  <c r="S715" i="3"/>
  <c r="J712" i="2" s="1"/>
  <c r="Q715" i="3"/>
  <c r="L715" i="3"/>
  <c r="K715" i="3"/>
  <c r="I715" i="3"/>
  <c r="P715" i="3"/>
  <c r="N715" i="3"/>
  <c r="H715" i="3"/>
  <c r="F715" i="3"/>
  <c r="D715" i="3"/>
  <c r="B715" i="3"/>
  <c r="S714" i="3"/>
  <c r="J711" i="2" s="1"/>
  <c r="Q714" i="3"/>
  <c r="L714" i="3"/>
  <c r="K714" i="3"/>
  <c r="I714" i="3"/>
  <c r="P714" i="3"/>
  <c r="N714" i="3"/>
  <c r="H714" i="3"/>
  <c r="F714" i="3"/>
  <c r="D714" i="3"/>
  <c r="B714" i="3"/>
  <c r="S713" i="3"/>
  <c r="J710" i="2" s="1"/>
  <c r="Q713" i="3"/>
  <c r="L713" i="3"/>
  <c r="K713" i="3"/>
  <c r="I713" i="3"/>
  <c r="P713" i="3"/>
  <c r="N713" i="3"/>
  <c r="H713" i="3"/>
  <c r="F713" i="3"/>
  <c r="D713" i="3"/>
  <c r="B713" i="3"/>
  <c r="S712" i="3"/>
  <c r="J709" i="2" s="1"/>
  <c r="Q712" i="3"/>
  <c r="L712" i="3"/>
  <c r="K712" i="3"/>
  <c r="I712" i="3"/>
  <c r="P712" i="3"/>
  <c r="N712" i="3"/>
  <c r="H712" i="3"/>
  <c r="F712" i="3"/>
  <c r="D712" i="3"/>
  <c r="B712" i="3"/>
  <c r="S711" i="3"/>
  <c r="J708" i="2" s="1"/>
  <c r="Q711" i="3"/>
  <c r="L711" i="3"/>
  <c r="K711" i="3"/>
  <c r="I711" i="3"/>
  <c r="P711" i="3"/>
  <c r="N711" i="3"/>
  <c r="H711" i="3"/>
  <c r="F711" i="3"/>
  <c r="D711" i="3"/>
  <c r="B711" i="3"/>
  <c r="S710" i="3"/>
  <c r="J707" i="2" s="1"/>
  <c r="Q710" i="3"/>
  <c r="L710" i="3"/>
  <c r="K710" i="3"/>
  <c r="I710" i="3"/>
  <c r="P710" i="3"/>
  <c r="N710" i="3"/>
  <c r="H710" i="3"/>
  <c r="F710" i="3"/>
  <c r="D710" i="3"/>
  <c r="B710" i="3"/>
  <c r="S709" i="3"/>
  <c r="J706" i="2" s="1"/>
  <c r="Q709" i="3"/>
  <c r="L709" i="3"/>
  <c r="K709" i="3"/>
  <c r="I709" i="3"/>
  <c r="P709" i="3"/>
  <c r="N709" i="3"/>
  <c r="H709" i="3"/>
  <c r="F709" i="3"/>
  <c r="D709" i="3"/>
  <c r="B709" i="3"/>
  <c r="S708" i="3"/>
  <c r="J705" i="2" s="1"/>
  <c r="Q708" i="3"/>
  <c r="L708" i="3"/>
  <c r="K708" i="3"/>
  <c r="I708" i="3"/>
  <c r="P708" i="3"/>
  <c r="N708" i="3"/>
  <c r="H708" i="3"/>
  <c r="F708" i="3"/>
  <c r="D708" i="3"/>
  <c r="B708" i="3"/>
  <c r="S707" i="3"/>
  <c r="J704" i="2" s="1"/>
  <c r="Q707" i="3"/>
  <c r="L707" i="3"/>
  <c r="K707" i="3"/>
  <c r="I707" i="3"/>
  <c r="P707" i="3"/>
  <c r="N707" i="3"/>
  <c r="H707" i="3"/>
  <c r="F707" i="3"/>
  <c r="D707" i="3"/>
  <c r="B707" i="3"/>
  <c r="S706" i="3"/>
  <c r="J703" i="2" s="1"/>
  <c r="Q706" i="3"/>
  <c r="L706" i="3"/>
  <c r="K706" i="3"/>
  <c r="I706" i="3"/>
  <c r="P706" i="3"/>
  <c r="N706" i="3"/>
  <c r="H706" i="3"/>
  <c r="F706" i="3"/>
  <c r="D706" i="3"/>
  <c r="B706" i="3"/>
  <c r="S705" i="3"/>
  <c r="J702" i="2" s="1"/>
  <c r="Q705" i="3"/>
  <c r="L705" i="3"/>
  <c r="K705" i="3"/>
  <c r="I705" i="3"/>
  <c r="P705" i="3"/>
  <c r="N705" i="3"/>
  <c r="H705" i="3"/>
  <c r="F705" i="3"/>
  <c r="D705" i="3"/>
  <c r="B705" i="3"/>
  <c r="S704" i="3"/>
  <c r="J701" i="2" s="1"/>
  <c r="Q704" i="3"/>
  <c r="L704" i="3"/>
  <c r="K704" i="3"/>
  <c r="I704" i="3"/>
  <c r="P704" i="3"/>
  <c r="N704" i="3"/>
  <c r="H704" i="3"/>
  <c r="F704" i="3"/>
  <c r="D704" i="3"/>
  <c r="B704" i="3"/>
  <c r="S703" i="3"/>
  <c r="J700" i="2" s="1"/>
  <c r="Q703" i="3"/>
  <c r="L703" i="3"/>
  <c r="K703" i="3"/>
  <c r="I703" i="3"/>
  <c r="P703" i="3"/>
  <c r="N703" i="3"/>
  <c r="H703" i="3"/>
  <c r="F703" i="3"/>
  <c r="D703" i="3"/>
  <c r="B703" i="3"/>
  <c r="S702" i="3"/>
  <c r="J699" i="2" s="1"/>
  <c r="Q702" i="3"/>
  <c r="L702" i="3"/>
  <c r="K702" i="3"/>
  <c r="I702" i="3"/>
  <c r="P702" i="3"/>
  <c r="N702" i="3"/>
  <c r="H702" i="3"/>
  <c r="F702" i="3"/>
  <c r="D702" i="3"/>
  <c r="B702" i="3"/>
  <c r="S701" i="3"/>
  <c r="J698" i="2" s="1"/>
  <c r="Q701" i="3"/>
  <c r="L701" i="3"/>
  <c r="K701" i="3"/>
  <c r="I701" i="3"/>
  <c r="P701" i="3"/>
  <c r="N701" i="3"/>
  <c r="H701" i="3"/>
  <c r="F701" i="3"/>
  <c r="D701" i="3"/>
  <c r="B701" i="3"/>
  <c r="S700" i="3"/>
  <c r="J697" i="2" s="1"/>
  <c r="Q700" i="3"/>
  <c r="L700" i="3"/>
  <c r="K700" i="3"/>
  <c r="I700" i="3"/>
  <c r="P700" i="3"/>
  <c r="N700" i="3"/>
  <c r="H700" i="3"/>
  <c r="F700" i="3"/>
  <c r="D700" i="3"/>
  <c r="B700" i="3"/>
  <c r="S699" i="3"/>
  <c r="J696" i="2" s="1"/>
  <c r="Q699" i="3"/>
  <c r="L699" i="3"/>
  <c r="K699" i="3"/>
  <c r="I699" i="3"/>
  <c r="P699" i="3"/>
  <c r="N699" i="3"/>
  <c r="H699" i="3"/>
  <c r="F699" i="3"/>
  <c r="D699" i="3"/>
  <c r="B699" i="3"/>
  <c r="S698" i="3"/>
  <c r="J695" i="2" s="1"/>
  <c r="Q698" i="3"/>
  <c r="L698" i="3"/>
  <c r="K698" i="3"/>
  <c r="I698" i="3"/>
  <c r="P698" i="3"/>
  <c r="N698" i="3"/>
  <c r="H698" i="3"/>
  <c r="F698" i="3"/>
  <c r="D698" i="3"/>
  <c r="B698" i="3"/>
  <c r="S697" i="3"/>
  <c r="J694" i="2" s="1"/>
  <c r="Q697" i="3"/>
  <c r="L697" i="3"/>
  <c r="K697" i="3"/>
  <c r="I697" i="3"/>
  <c r="P697" i="3"/>
  <c r="N697" i="3"/>
  <c r="H697" i="3"/>
  <c r="F697" i="3"/>
  <c r="D697" i="3"/>
  <c r="B697" i="3"/>
  <c r="S696" i="3"/>
  <c r="J693" i="2" s="1"/>
  <c r="Q696" i="3"/>
  <c r="L696" i="3"/>
  <c r="K696" i="3"/>
  <c r="I696" i="3"/>
  <c r="P696" i="3"/>
  <c r="N696" i="3"/>
  <c r="H696" i="3"/>
  <c r="F696" i="3"/>
  <c r="D696" i="3"/>
  <c r="B696" i="3"/>
  <c r="S695" i="3"/>
  <c r="J692" i="2" s="1"/>
  <c r="Q695" i="3"/>
  <c r="L695" i="3"/>
  <c r="K695" i="3"/>
  <c r="I695" i="3"/>
  <c r="P695" i="3"/>
  <c r="N695" i="3"/>
  <c r="H695" i="3"/>
  <c r="F695" i="3"/>
  <c r="D695" i="3"/>
  <c r="B695" i="3"/>
  <c r="S694" i="3"/>
  <c r="J691" i="2" s="1"/>
  <c r="Q694" i="3"/>
  <c r="L694" i="3"/>
  <c r="K694" i="3"/>
  <c r="I694" i="3"/>
  <c r="P694" i="3"/>
  <c r="N694" i="3"/>
  <c r="H694" i="3"/>
  <c r="F694" i="3"/>
  <c r="D694" i="3"/>
  <c r="B694" i="3"/>
  <c r="S693" i="3"/>
  <c r="J690" i="2" s="1"/>
  <c r="Q693" i="3"/>
  <c r="L693" i="3"/>
  <c r="K693" i="3"/>
  <c r="I693" i="3"/>
  <c r="P693" i="3"/>
  <c r="N693" i="3"/>
  <c r="H693" i="3"/>
  <c r="F693" i="3"/>
  <c r="D693" i="3"/>
  <c r="B693" i="3"/>
  <c r="S692" i="3"/>
  <c r="J689" i="2" s="1"/>
  <c r="Q692" i="3"/>
  <c r="L692" i="3"/>
  <c r="K692" i="3"/>
  <c r="I692" i="3"/>
  <c r="P692" i="3"/>
  <c r="N692" i="3"/>
  <c r="H692" i="3"/>
  <c r="F692" i="3"/>
  <c r="D692" i="3"/>
  <c r="B692" i="3"/>
  <c r="S691" i="3"/>
  <c r="J688" i="2" s="1"/>
  <c r="Q691" i="3"/>
  <c r="L691" i="3"/>
  <c r="K691" i="3"/>
  <c r="I691" i="3"/>
  <c r="P691" i="3"/>
  <c r="N691" i="3"/>
  <c r="H691" i="3"/>
  <c r="F691" i="3"/>
  <c r="D691" i="3"/>
  <c r="B691" i="3"/>
  <c r="S690" i="3"/>
  <c r="J687" i="2" s="1"/>
  <c r="Q690" i="3"/>
  <c r="L690" i="3"/>
  <c r="K690" i="3"/>
  <c r="I690" i="3"/>
  <c r="P690" i="3"/>
  <c r="N690" i="3"/>
  <c r="H690" i="3"/>
  <c r="F690" i="3"/>
  <c r="D690" i="3"/>
  <c r="B690" i="3"/>
  <c r="S689" i="3"/>
  <c r="J686" i="2" s="1"/>
  <c r="Q689" i="3"/>
  <c r="L689" i="3"/>
  <c r="K689" i="3"/>
  <c r="I689" i="3"/>
  <c r="P689" i="3"/>
  <c r="N689" i="3"/>
  <c r="H689" i="3"/>
  <c r="F689" i="3"/>
  <c r="D689" i="3"/>
  <c r="B689" i="3"/>
  <c r="S688" i="3"/>
  <c r="J685" i="2" s="1"/>
  <c r="Q688" i="3"/>
  <c r="L688" i="3"/>
  <c r="K688" i="3"/>
  <c r="I688" i="3"/>
  <c r="P688" i="3"/>
  <c r="N688" i="3"/>
  <c r="H688" i="3"/>
  <c r="F688" i="3"/>
  <c r="D688" i="3"/>
  <c r="B688" i="3"/>
  <c r="S687" i="3"/>
  <c r="J684" i="2" s="1"/>
  <c r="Q687" i="3"/>
  <c r="L687" i="3"/>
  <c r="K687" i="3"/>
  <c r="I687" i="3"/>
  <c r="P687" i="3"/>
  <c r="N687" i="3"/>
  <c r="H687" i="3"/>
  <c r="F687" i="3"/>
  <c r="D687" i="3"/>
  <c r="B687" i="3"/>
  <c r="S686" i="3"/>
  <c r="J683" i="2" s="1"/>
  <c r="Q686" i="3"/>
  <c r="L686" i="3"/>
  <c r="K686" i="3"/>
  <c r="I686" i="3"/>
  <c r="P686" i="3"/>
  <c r="N686" i="3"/>
  <c r="H686" i="3"/>
  <c r="F686" i="3"/>
  <c r="D686" i="3"/>
  <c r="B686" i="3"/>
  <c r="S685" i="3"/>
  <c r="J682" i="2" s="1"/>
  <c r="Q685" i="3"/>
  <c r="L685" i="3"/>
  <c r="K685" i="3"/>
  <c r="I685" i="3"/>
  <c r="P685" i="3"/>
  <c r="N685" i="3"/>
  <c r="H685" i="3"/>
  <c r="F685" i="3"/>
  <c r="D685" i="3"/>
  <c r="B685" i="3"/>
  <c r="S684" i="3"/>
  <c r="J681" i="2" s="1"/>
  <c r="Q684" i="3"/>
  <c r="L684" i="3"/>
  <c r="K684" i="3"/>
  <c r="I684" i="3"/>
  <c r="P684" i="3"/>
  <c r="N684" i="3"/>
  <c r="H684" i="3"/>
  <c r="F684" i="3"/>
  <c r="D684" i="3"/>
  <c r="B684" i="3"/>
  <c r="S683" i="3"/>
  <c r="J680" i="2" s="1"/>
  <c r="Q683" i="3"/>
  <c r="L683" i="3"/>
  <c r="K683" i="3"/>
  <c r="I683" i="3"/>
  <c r="P683" i="3"/>
  <c r="N683" i="3"/>
  <c r="H683" i="3"/>
  <c r="F683" i="3"/>
  <c r="D683" i="3"/>
  <c r="B683" i="3"/>
  <c r="S682" i="3"/>
  <c r="J679" i="2" s="1"/>
  <c r="Q682" i="3"/>
  <c r="L682" i="3"/>
  <c r="K682" i="3"/>
  <c r="I682" i="3"/>
  <c r="P682" i="3"/>
  <c r="N682" i="3"/>
  <c r="H682" i="3"/>
  <c r="F682" i="3"/>
  <c r="D682" i="3"/>
  <c r="B682" i="3"/>
  <c r="S681" i="3"/>
  <c r="J678" i="2" s="1"/>
  <c r="Q681" i="3"/>
  <c r="L681" i="3"/>
  <c r="K681" i="3"/>
  <c r="I681" i="3"/>
  <c r="P681" i="3"/>
  <c r="N681" i="3"/>
  <c r="H681" i="3"/>
  <c r="F681" i="3"/>
  <c r="D681" i="3"/>
  <c r="B681" i="3"/>
  <c r="S680" i="3"/>
  <c r="J677" i="2" s="1"/>
  <c r="Q680" i="3"/>
  <c r="L680" i="3"/>
  <c r="K680" i="3"/>
  <c r="I680" i="3"/>
  <c r="P680" i="3"/>
  <c r="N680" i="3"/>
  <c r="H680" i="3"/>
  <c r="F680" i="3"/>
  <c r="D680" i="3"/>
  <c r="B680" i="3"/>
  <c r="S679" i="3"/>
  <c r="J676" i="2" s="1"/>
  <c r="Q679" i="3"/>
  <c r="L679" i="3"/>
  <c r="K679" i="3"/>
  <c r="I679" i="3"/>
  <c r="P679" i="3"/>
  <c r="N679" i="3"/>
  <c r="H679" i="3"/>
  <c r="F679" i="3"/>
  <c r="D679" i="3"/>
  <c r="B679" i="3"/>
  <c r="S678" i="3"/>
  <c r="J675" i="2" s="1"/>
  <c r="Q678" i="3"/>
  <c r="L678" i="3"/>
  <c r="K678" i="3"/>
  <c r="I678" i="3"/>
  <c r="P678" i="3"/>
  <c r="N678" i="3"/>
  <c r="H678" i="3"/>
  <c r="F678" i="3"/>
  <c r="D678" i="3"/>
  <c r="B678" i="3"/>
  <c r="S677" i="3"/>
  <c r="J674" i="2" s="1"/>
  <c r="Q677" i="3"/>
  <c r="L677" i="3"/>
  <c r="K677" i="3"/>
  <c r="I677" i="3"/>
  <c r="P677" i="3"/>
  <c r="N677" i="3"/>
  <c r="H677" i="3"/>
  <c r="F677" i="3"/>
  <c r="D677" i="3"/>
  <c r="B677" i="3"/>
  <c r="S676" i="3"/>
  <c r="J673" i="2" s="1"/>
  <c r="Q676" i="3"/>
  <c r="L676" i="3"/>
  <c r="K676" i="3"/>
  <c r="I676" i="3"/>
  <c r="P676" i="3"/>
  <c r="N676" i="3"/>
  <c r="H676" i="3"/>
  <c r="F676" i="3"/>
  <c r="D676" i="3"/>
  <c r="B676" i="3"/>
  <c r="S675" i="3"/>
  <c r="J672" i="2" s="1"/>
  <c r="Q675" i="3"/>
  <c r="L675" i="3"/>
  <c r="K675" i="3"/>
  <c r="I675" i="3"/>
  <c r="P675" i="3"/>
  <c r="N675" i="3"/>
  <c r="H675" i="3"/>
  <c r="F675" i="3"/>
  <c r="D675" i="3"/>
  <c r="B675" i="3"/>
  <c r="S674" i="3"/>
  <c r="J671" i="2" s="1"/>
  <c r="Q674" i="3"/>
  <c r="L674" i="3"/>
  <c r="K674" i="3"/>
  <c r="I674" i="3"/>
  <c r="P674" i="3"/>
  <c r="N674" i="3"/>
  <c r="H674" i="3"/>
  <c r="F674" i="3"/>
  <c r="D674" i="3"/>
  <c r="B674" i="3"/>
  <c r="S673" i="3"/>
  <c r="J670" i="2" s="1"/>
  <c r="Q673" i="3"/>
  <c r="L673" i="3"/>
  <c r="K673" i="3"/>
  <c r="I673" i="3"/>
  <c r="P673" i="3"/>
  <c r="N673" i="3"/>
  <c r="H673" i="3"/>
  <c r="F673" i="3"/>
  <c r="D673" i="3"/>
  <c r="B673" i="3"/>
  <c r="S672" i="3"/>
  <c r="J669" i="2" s="1"/>
  <c r="Q672" i="3"/>
  <c r="L672" i="3"/>
  <c r="K672" i="3"/>
  <c r="I672" i="3"/>
  <c r="P672" i="3"/>
  <c r="N672" i="3"/>
  <c r="H672" i="3"/>
  <c r="F672" i="3"/>
  <c r="D672" i="3"/>
  <c r="B672" i="3"/>
  <c r="S671" i="3"/>
  <c r="J668" i="2" s="1"/>
  <c r="Q671" i="3"/>
  <c r="L671" i="3"/>
  <c r="K671" i="3"/>
  <c r="I671" i="3"/>
  <c r="P671" i="3"/>
  <c r="N671" i="3"/>
  <c r="H671" i="3"/>
  <c r="F671" i="3"/>
  <c r="D671" i="3"/>
  <c r="B671" i="3"/>
  <c r="S670" i="3"/>
  <c r="J667" i="2" s="1"/>
  <c r="Q670" i="3"/>
  <c r="L670" i="3"/>
  <c r="K670" i="3"/>
  <c r="I670" i="3"/>
  <c r="P670" i="3"/>
  <c r="N670" i="3"/>
  <c r="H670" i="3"/>
  <c r="F670" i="3"/>
  <c r="D670" i="3"/>
  <c r="B670" i="3"/>
  <c r="S669" i="3"/>
  <c r="J666" i="2" s="1"/>
  <c r="Q669" i="3"/>
  <c r="L669" i="3"/>
  <c r="K669" i="3"/>
  <c r="I669" i="3"/>
  <c r="P669" i="3"/>
  <c r="N669" i="3"/>
  <c r="H669" i="3"/>
  <c r="F669" i="3"/>
  <c r="D669" i="3"/>
  <c r="B669" i="3"/>
  <c r="S668" i="3"/>
  <c r="J665" i="2" s="1"/>
  <c r="Q668" i="3"/>
  <c r="L668" i="3"/>
  <c r="K668" i="3"/>
  <c r="I668" i="3"/>
  <c r="P668" i="3"/>
  <c r="N668" i="3"/>
  <c r="H668" i="3"/>
  <c r="F668" i="3"/>
  <c r="D668" i="3"/>
  <c r="B668" i="3"/>
  <c r="S667" i="3"/>
  <c r="J664" i="2" s="1"/>
  <c r="Q667" i="3"/>
  <c r="L667" i="3"/>
  <c r="K667" i="3"/>
  <c r="I667" i="3"/>
  <c r="P667" i="3"/>
  <c r="N667" i="3"/>
  <c r="H667" i="3"/>
  <c r="F667" i="3"/>
  <c r="D667" i="3"/>
  <c r="B667" i="3"/>
  <c r="S666" i="3"/>
  <c r="J663" i="2" s="1"/>
  <c r="Q666" i="3"/>
  <c r="L666" i="3"/>
  <c r="K666" i="3"/>
  <c r="I666" i="3"/>
  <c r="P666" i="3"/>
  <c r="N666" i="3"/>
  <c r="H666" i="3"/>
  <c r="F666" i="3"/>
  <c r="D666" i="3"/>
  <c r="B666" i="3"/>
  <c r="S665" i="3"/>
  <c r="J662" i="2" s="1"/>
  <c r="Q665" i="3"/>
  <c r="L665" i="3"/>
  <c r="K665" i="3"/>
  <c r="I665" i="3"/>
  <c r="P665" i="3"/>
  <c r="N665" i="3"/>
  <c r="H665" i="3"/>
  <c r="F665" i="3"/>
  <c r="D665" i="3"/>
  <c r="B665" i="3"/>
  <c r="S664" i="3"/>
  <c r="J661" i="2" s="1"/>
  <c r="Q664" i="3"/>
  <c r="L664" i="3"/>
  <c r="K664" i="3"/>
  <c r="I664" i="3"/>
  <c r="P664" i="3"/>
  <c r="N664" i="3"/>
  <c r="H664" i="3"/>
  <c r="F664" i="3"/>
  <c r="D664" i="3"/>
  <c r="B664" i="3"/>
  <c r="S663" i="3"/>
  <c r="J660" i="2" s="1"/>
  <c r="Q663" i="3"/>
  <c r="L663" i="3"/>
  <c r="K663" i="3"/>
  <c r="I663" i="3"/>
  <c r="P663" i="3"/>
  <c r="N663" i="3"/>
  <c r="H663" i="3"/>
  <c r="F663" i="3"/>
  <c r="D663" i="3"/>
  <c r="B663" i="3"/>
  <c r="S662" i="3"/>
  <c r="J659" i="2" s="1"/>
  <c r="Q662" i="3"/>
  <c r="L662" i="3"/>
  <c r="K662" i="3"/>
  <c r="I662" i="3"/>
  <c r="P662" i="3"/>
  <c r="N662" i="3"/>
  <c r="H662" i="3"/>
  <c r="F662" i="3"/>
  <c r="D662" i="3"/>
  <c r="B662" i="3"/>
  <c r="S661" i="3"/>
  <c r="J658" i="2" s="1"/>
  <c r="Q661" i="3"/>
  <c r="L661" i="3"/>
  <c r="K661" i="3"/>
  <c r="I661" i="3"/>
  <c r="P661" i="3"/>
  <c r="N661" i="3"/>
  <c r="H661" i="3"/>
  <c r="F661" i="3"/>
  <c r="D661" i="3"/>
  <c r="B661" i="3"/>
  <c r="S660" i="3"/>
  <c r="J657" i="2" s="1"/>
  <c r="Q660" i="3"/>
  <c r="L660" i="3"/>
  <c r="K660" i="3"/>
  <c r="I660" i="3"/>
  <c r="P660" i="3"/>
  <c r="N660" i="3"/>
  <c r="H660" i="3"/>
  <c r="F660" i="3"/>
  <c r="D660" i="3"/>
  <c r="B660" i="3"/>
  <c r="S659" i="3"/>
  <c r="J656" i="2" s="1"/>
  <c r="Q659" i="3"/>
  <c r="L659" i="3"/>
  <c r="K659" i="3"/>
  <c r="I659" i="3"/>
  <c r="P659" i="3"/>
  <c r="N659" i="3"/>
  <c r="H659" i="3"/>
  <c r="F659" i="3"/>
  <c r="D659" i="3"/>
  <c r="B659" i="3"/>
  <c r="S658" i="3"/>
  <c r="J655" i="2" s="1"/>
  <c r="Q658" i="3"/>
  <c r="L658" i="3"/>
  <c r="K658" i="3"/>
  <c r="I658" i="3"/>
  <c r="P658" i="3"/>
  <c r="N658" i="3"/>
  <c r="H658" i="3"/>
  <c r="F658" i="3"/>
  <c r="D658" i="3"/>
  <c r="B658" i="3"/>
  <c r="S657" i="3"/>
  <c r="J654" i="2" s="1"/>
  <c r="Q657" i="3"/>
  <c r="L657" i="3"/>
  <c r="K657" i="3"/>
  <c r="I657" i="3"/>
  <c r="P657" i="3"/>
  <c r="N657" i="3"/>
  <c r="H657" i="3"/>
  <c r="F657" i="3"/>
  <c r="D657" i="3"/>
  <c r="B657" i="3"/>
  <c r="S656" i="3"/>
  <c r="J653" i="2" s="1"/>
  <c r="Q656" i="3"/>
  <c r="L656" i="3"/>
  <c r="K656" i="3"/>
  <c r="I656" i="3"/>
  <c r="P656" i="3"/>
  <c r="N656" i="3"/>
  <c r="H656" i="3"/>
  <c r="F656" i="3"/>
  <c r="D656" i="3"/>
  <c r="B656" i="3"/>
  <c r="S655" i="3"/>
  <c r="J652" i="2" s="1"/>
  <c r="Q655" i="3"/>
  <c r="L655" i="3"/>
  <c r="K655" i="3"/>
  <c r="I655" i="3"/>
  <c r="P655" i="3"/>
  <c r="N655" i="3"/>
  <c r="H655" i="3"/>
  <c r="F655" i="3"/>
  <c r="D655" i="3"/>
  <c r="B655" i="3"/>
  <c r="S654" i="3"/>
  <c r="J651" i="2" s="1"/>
  <c r="Q654" i="3"/>
  <c r="L654" i="3"/>
  <c r="K654" i="3"/>
  <c r="I654" i="3"/>
  <c r="P654" i="3"/>
  <c r="N654" i="3"/>
  <c r="H654" i="3"/>
  <c r="F654" i="3"/>
  <c r="D654" i="3"/>
  <c r="B654" i="3"/>
  <c r="S653" i="3"/>
  <c r="J650" i="2" s="1"/>
  <c r="Q653" i="3"/>
  <c r="L653" i="3"/>
  <c r="K653" i="3"/>
  <c r="I653" i="3"/>
  <c r="P653" i="3"/>
  <c r="N653" i="3"/>
  <c r="H653" i="3"/>
  <c r="F653" i="3"/>
  <c r="D653" i="3"/>
  <c r="B653" i="3"/>
  <c r="S652" i="3"/>
  <c r="J649" i="2" s="1"/>
  <c r="Q652" i="3"/>
  <c r="L652" i="3"/>
  <c r="K652" i="3"/>
  <c r="I652" i="3"/>
  <c r="P652" i="3"/>
  <c r="N652" i="3"/>
  <c r="H652" i="3"/>
  <c r="F652" i="3"/>
  <c r="D652" i="3"/>
  <c r="B652" i="3"/>
  <c r="S651" i="3"/>
  <c r="J648" i="2" s="1"/>
  <c r="Q651" i="3"/>
  <c r="L651" i="3"/>
  <c r="K651" i="3"/>
  <c r="I651" i="3"/>
  <c r="P651" i="3"/>
  <c r="N651" i="3"/>
  <c r="H651" i="3"/>
  <c r="F651" i="3"/>
  <c r="D651" i="3"/>
  <c r="B651" i="3"/>
  <c r="S650" i="3"/>
  <c r="J647" i="2" s="1"/>
  <c r="Q650" i="3"/>
  <c r="L650" i="3"/>
  <c r="K650" i="3"/>
  <c r="I650" i="3"/>
  <c r="P650" i="3"/>
  <c r="N650" i="3"/>
  <c r="H650" i="3"/>
  <c r="F650" i="3"/>
  <c r="D650" i="3"/>
  <c r="B650" i="3"/>
  <c r="S649" i="3"/>
  <c r="J646" i="2" s="1"/>
  <c r="Q649" i="3"/>
  <c r="L649" i="3"/>
  <c r="K649" i="3"/>
  <c r="I649" i="3"/>
  <c r="P649" i="3"/>
  <c r="N649" i="3"/>
  <c r="H649" i="3"/>
  <c r="F649" i="3"/>
  <c r="D649" i="3"/>
  <c r="B649" i="3"/>
  <c r="S648" i="3"/>
  <c r="J645" i="2" s="1"/>
  <c r="Q648" i="3"/>
  <c r="L648" i="3"/>
  <c r="K648" i="3"/>
  <c r="I648" i="3"/>
  <c r="P648" i="3"/>
  <c r="N648" i="3"/>
  <c r="H648" i="3"/>
  <c r="F648" i="3"/>
  <c r="D648" i="3"/>
  <c r="B648" i="3"/>
  <c r="S647" i="3"/>
  <c r="J644" i="2" s="1"/>
  <c r="Q647" i="3"/>
  <c r="L647" i="3"/>
  <c r="K647" i="3"/>
  <c r="I647" i="3"/>
  <c r="P647" i="3"/>
  <c r="N647" i="3"/>
  <c r="H647" i="3"/>
  <c r="F647" i="3"/>
  <c r="D647" i="3"/>
  <c r="B647" i="3"/>
  <c r="S646" i="3"/>
  <c r="J643" i="2" s="1"/>
  <c r="Q646" i="3"/>
  <c r="L646" i="3"/>
  <c r="K646" i="3"/>
  <c r="I646" i="3"/>
  <c r="P646" i="3"/>
  <c r="N646" i="3"/>
  <c r="H646" i="3"/>
  <c r="F646" i="3"/>
  <c r="D646" i="3"/>
  <c r="B646" i="3"/>
  <c r="S645" i="3"/>
  <c r="J642" i="2" s="1"/>
  <c r="Q645" i="3"/>
  <c r="L645" i="3"/>
  <c r="K645" i="3"/>
  <c r="I645" i="3"/>
  <c r="P645" i="3"/>
  <c r="N645" i="3"/>
  <c r="H645" i="3"/>
  <c r="F645" i="3"/>
  <c r="D645" i="3"/>
  <c r="B645" i="3"/>
  <c r="S644" i="3"/>
  <c r="J641" i="2" s="1"/>
  <c r="Q644" i="3"/>
  <c r="L644" i="3"/>
  <c r="K644" i="3"/>
  <c r="I644" i="3"/>
  <c r="P644" i="3"/>
  <c r="N644" i="3"/>
  <c r="H644" i="3"/>
  <c r="F644" i="3"/>
  <c r="D644" i="3"/>
  <c r="B644" i="3"/>
  <c r="S643" i="3"/>
  <c r="J640" i="2" s="1"/>
  <c r="Q643" i="3"/>
  <c r="L643" i="3"/>
  <c r="K643" i="3"/>
  <c r="I643" i="3"/>
  <c r="P643" i="3"/>
  <c r="N643" i="3"/>
  <c r="H643" i="3"/>
  <c r="F643" i="3"/>
  <c r="D643" i="3"/>
  <c r="B643" i="3"/>
  <c r="S642" i="3"/>
  <c r="J639" i="2" s="1"/>
  <c r="Q642" i="3"/>
  <c r="L642" i="3"/>
  <c r="K642" i="3"/>
  <c r="I642" i="3"/>
  <c r="P642" i="3"/>
  <c r="N642" i="3"/>
  <c r="H642" i="3"/>
  <c r="F642" i="3"/>
  <c r="D642" i="3"/>
  <c r="B642" i="3"/>
  <c r="S641" i="3"/>
  <c r="J638" i="2" s="1"/>
  <c r="Q641" i="3"/>
  <c r="L641" i="3"/>
  <c r="K641" i="3"/>
  <c r="I641" i="3"/>
  <c r="P641" i="3"/>
  <c r="N641" i="3"/>
  <c r="H641" i="3"/>
  <c r="F641" i="3"/>
  <c r="D641" i="3"/>
  <c r="B641" i="3"/>
  <c r="S640" i="3"/>
  <c r="J637" i="2" s="1"/>
  <c r="Q640" i="3"/>
  <c r="L640" i="3"/>
  <c r="K640" i="3"/>
  <c r="I640" i="3"/>
  <c r="P640" i="3"/>
  <c r="N640" i="3"/>
  <c r="H640" i="3"/>
  <c r="F640" i="3"/>
  <c r="D640" i="3"/>
  <c r="B640" i="3"/>
  <c r="S639" i="3"/>
  <c r="J636" i="2" s="1"/>
  <c r="Q639" i="3"/>
  <c r="L639" i="3"/>
  <c r="K639" i="3"/>
  <c r="I639" i="3"/>
  <c r="P639" i="3"/>
  <c r="N639" i="3"/>
  <c r="H639" i="3"/>
  <c r="F639" i="3"/>
  <c r="D639" i="3"/>
  <c r="B639" i="3"/>
  <c r="S638" i="3"/>
  <c r="J635" i="2" s="1"/>
  <c r="Q638" i="3"/>
  <c r="L638" i="3"/>
  <c r="K638" i="3"/>
  <c r="I638" i="3"/>
  <c r="P638" i="3"/>
  <c r="N638" i="3"/>
  <c r="H638" i="3"/>
  <c r="F638" i="3"/>
  <c r="D638" i="3"/>
  <c r="B638" i="3"/>
  <c r="S637" i="3"/>
  <c r="J634" i="2" s="1"/>
  <c r="Q637" i="3"/>
  <c r="L637" i="3"/>
  <c r="K637" i="3"/>
  <c r="I637" i="3"/>
  <c r="P637" i="3"/>
  <c r="N637" i="3"/>
  <c r="H637" i="3"/>
  <c r="F637" i="3"/>
  <c r="D637" i="3"/>
  <c r="B637" i="3"/>
  <c r="S636" i="3"/>
  <c r="J633" i="2" s="1"/>
  <c r="Q636" i="3"/>
  <c r="L636" i="3"/>
  <c r="K636" i="3"/>
  <c r="I636" i="3"/>
  <c r="P636" i="3"/>
  <c r="N636" i="3"/>
  <c r="H636" i="3"/>
  <c r="F636" i="3"/>
  <c r="D636" i="3"/>
  <c r="B636" i="3"/>
  <c r="S635" i="3"/>
  <c r="J632" i="2" s="1"/>
  <c r="Q635" i="3"/>
  <c r="L635" i="3"/>
  <c r="K635" i="3"/>
  <c r="I635" i="3"/>
  <c r="P635" i="3"/>
  <c r="N635" i="3"/>
  <c r="H635" i="3"/>
  <c r="F635" i="3"/>
  <c r="D635" i="3"/>
  <c r="B635" i="3"/>
  <c r="S634" i="3"/>
  <c r="J631" i="2" s="1"/>
  <c r="Q634" i="3"/>
  <c r="L634" i="3"/>
  <c r="K634" i="3"/>
  <c r="I634" i="3"/>
  <c r="P634" i="3"/>
  <c r="N634" i="3"/>
  <c r="H634" i="3"/>
  <c r="F634" i="3"/>
  <c r="D634" i="3"/>
  <c r="B634" i="3"/>
  <c r="S633" i="3"/>
  <c r="J630" i="2" s="1"/>
  <c r="Q633" i="3"/>
  <c r="L633" i="3"/>
  <c r="K633" i="3"/>
  <c r="I633" i="3"/>
  <c r="P633" i="3"/>
  <c r="N633" i="3"/>
  <c r="H633" i="3"/>
  <c r="F633" i="3"/>
  <c r="D633" i="3"/>
  <c r="B633" i="3"/>
  <c r="S632" i="3"/>
  <c r="J629" i="2" s="1"/>
  <c r="Q632" i="3"/>
  <c r="L632" i="3"/>
  <c r="K632" i="3"/>
  <c r="I632" i="3"/>
  <c r="P632" i="3"/>
  <c r="N632" i="3"/>
  <c r="H632" i="3"/>
  <c r="F632" i="3"/>
  <c r="D632" i="3"/>
  <c r="B632" i="3"/>
  <c r="S631" i="3"/>
  <c r="J628" i="2" s="1"/>
  <c r="Q631" i="3"/>
  <c r="L631" i="3"/>
  <c r="K631" i="3"/>
  <c r="I631" i="3"/>
  <c r="P631" i="3"/>
  <c r="N631" i="3"/>
  <c r="H631" i="3"/>
  <c r="F631" i="3"/>
  <c r="D631" i="3"/>
  <c r="B631" i="3"/>
  <c r="S630" i="3"/>
  <c r="J627" i="2" s="1"/>
  <c r="Q630" i="3"/>
  <c r="L630" i="3"/>
  <c r="K630" i="3"/>
  <c r="I630" i="3"/>
  <c r="P630" i="3"/>
  <c r="N630" i="3"/>
  <c r="H630" i="3"/>
  <c r="F630" i="3"/>
  <c r="D630" i="3"/>
  <c r="B630" i="3"/>
  <c r="S629" i="3"/>
  <c r="J626" i="2" s="1"/>
  <c r="Q629" i="3"/>
  <c r="L629" i="3"/>
  <c r="K629" i="3"/>
  <c r="I629" i="3"/>
  <c r="P629" i="3"/>
  <c r="N629" i="3"/>
  <c r="H629" i="3"/>
  <c r="F629" i="3"/>
  <c r="D629" i="3"/>
  <c r="B629" i="3"/>
  <c r="S628" i="3"/>
  <c r="J625" i="2" s="1"/>
  <c r="Q628" i="3"/>
  <c r="L628" i="3"/>
  <c r="K628" i="3"/>
  <c r="I628" i="3"/>
  <c r="P628" i="3"/>
  <c r="N628" i="3"/>
  <c r="H628" i="3"/>
  <c r="F628" i="3"/>
  <c r="D628" i="3"/>
  <c r="B628" i="3"/>
  <c r="S627" i="3"/>
  <c r="J624" i="2" s="1"/>
  <c r="Q627" i="3"/>
  <c r="L627" i="3"/>
  <c r="K627" i="3"/>
  <c r="I627" i="3"/>
  <c r="P627" i="3"/>
  <c r="N627" i="3"/>
  <c r="H627" i="3"/>
  <c r="F627" i="3"/>
  <c r="D627" i="3"/>
  <c r="B627" i="3"/>
  <c r="S626" i="3"/>
  <c r="J623" i="2" s="1"/>
  <c r="Q626" i="3"/>
  <c r="L626" i="3"/>
  <c r="K626" i="3"/>
  <c r="I626" i="3"/>
  <c r="P626" i="3"/>
  <c r="N626" i="3"/>
  <c r="H626" i="3"/>
  <c r="F626" i="3"/>
  <c r="D626" i="3"/>
  <c r="B626" i="3"/>
  <c r="S625" i="3"/>
  <c r="J622" i="2" s="1"/>
  <c r="Q625" i="3"/>
  <c r="L625" i="3"/>
  <c r="K625" i="3"/>
  <c r="I625" i="3"/>
  <c r="P625" i="3"/>
  <c r="N625" i="3"/>
  <c r="H625" i="3"/>
  <c r="F625" i="3"/>
  <c r="D625" i="3"/>
  <c r="B625" i="3"/>
  <c r="S624" i="3"/>
  <c r="J621" i="2" s="1"/>
  <c r="Q624" i="3"/>
  <c r="L624" i="3"/>
  <c r="K624" i="3"/>
  <c r="I624" i="3"/>
  <c r="P624" i="3"/>
  <c r="N624" i="3"/>
  <c r="H624" i="3"/>
  <c r="F624" i="3"/>
  <c r="D624" i="3"/>
  <c r="B624" i="3"/>
  <c r="S623" i="3"/>
  <c r="J620" i="2" s="1"/>
  <c r="Q623" i="3"/>
  <c r="L623" i="3"/>
  <c r="K623" i="3"/>
  <c r="I623" i="3"/>
  <c r="P623" i="3"/>
  <c r="N623" i="3"/>
  <c r="H623" i="3"/>
  <c r="F623" i="3"/>
  <c r="D623" i="3"/>
  <c r="B623" i="3"/>
  <c r="S622" i="3"/>
  <c r="J619" i="2" s="1"/>
  <c r="Q622" i="3"/>
  <c r="L622" i="3"/>
  <c r="K622" i="3"/>
  <c r="I622" i="3"/>
  <c r="P622" i="3"/>
  <c r="N622" i="3"/>
  <c r="H622" i="3"/>
  <c r="F622" i="3"/>
  <c r="D622" i="3"/>
  <c r="B622" i="3"/>
  <c r="S621" i="3"/>
  <c r="J618" i="2" s="1"/>
  <c r="Q621" i="3"/>
  <c r="L621" i="3"/>
  <c r="K621" i="3"/>
  <c r="I621" i="3"/>
  <c r="P621" i="3"/>
  <c r="N621" i="3"/>
  <c r="H621" i="3"/>
  <c r="F621" i="3"/>
  <c r="D621" i="3"/>
  <c r="B621" i="3"/>
  <c r="S620" i="3"/>
  <c r="J617" i="2" s="1"/>
  <c r="Q620" i="3"/>
  <c r="L620" i="3"/>
  <c r="K620" i="3"/>
  <c r="I620" i="3"/>
  <c r="P620" i="3"/>
  <c r="N620" i="3"/>
  <c r="H620" i="3"/>
  <c r="F620" i="3"/>
  <c r="D620" i="3"/>
  <c r="B620" i="3"/>
  <c r="S619" i="3"/>
  <c r="J616" i="2" s="1"/>
  <c r="Q619" i="3"/>
  <c r="L619" i="3"/>
  <c r="K619" i="3"/>
  <c r="I619" i="3"/>
  <c r="P619" i="3"/>
  <c r="N619" i="3"/>
  <c r="H619" i="3"/>
  <c r="F619" i="3"/>
  <c r="D619" i="3"/>
  <c r="B619" i="3"/>
  <c r="S618" i="3"/>
  <c r="J615" i="2" s="1"/>
  <c r="Q618" i="3"/>
  <c r="L618" i="3"/>
  <c r="K618" i="3"/>
  <c r="I618" i="3"/>
  <c r="P618" i="3"/>
  <c r="N618" i="3"/>
  <c r="H618" i="3"/>
  <c r="F618" i="3"/>
  <c r="D618" i="3"/>
  <c r="B618" i="3"/>
  <c r="S617" i="3"/>
  <c r="J614" i="2" s="1"/>
  <c r="Q617" i="3"/>
  <c r="L617" i="3"/>
  <c r="K617" i="3"/>
  <c r="I617" i="3"/>
  <c r="P617" i="3"/>
  <c r="N617" i="3"/>
  <c r="H617" i="3"/>
  <c r="F617" i="3"/>
  <c r="D617" i="3"/>
  <c r="B617" i="3"/>
  <c r="S616" i="3"/>
  <c r="J613" i="2" s="1"/>
  <c r="Q616" i="3"/>
  <c r="L616" i="3"/>
  <c r="K616" i="3"/>
  <c r="I616" i="3"/>
  <c r="P616" i="3"/>
  <c r="N616" i="3"/>
  <c r="H616" i="3"/>
  <c r="F616" i="3"/>
  <c r="D616" i="3"/>
  <c r="B616" i="3"/>
  <c r="S615" i="3"/>
  <c r="J612" i="2" s="1"/>
  <c r="Q615" i="3"/>
  <c r="L615" i="3"/>
  <c r="K615" i="3"/>
  <c r="I615" i="3"/>
  <c r="P615" i="3"/>
  <c r="N615" i="3"/>
  <c r="H615" i="3"/>
  <c r="F615" i="3"/>
  <c r="D615" i="3"/>
  <c r="B615" i="3"/>
  <c r="S614" i="3"/>
  <c r="J611" i="2" s="1"/>
  <c r="Q614" i="3"/>
  <c r="L614" i="3"/>
  <c r="K614" i="3"/>
  <c r="I614" i="3"/>
  <c r="P614" i="3"/>
  <c r="N614" i="3"/>
  <c r="H614" i="3"/>
  <c r="F614" i="3"/>
  <c r="D614" i="3"/>
  <c r="B614" i="3"/>
  <c r="S613" i="3"/>
  <c r="J610" i="2" s="1"/>
  <c r="Q613" i="3"/>
  <c r="L613" i="3"/>
  <c r="K613" i="3"/>
  <c r="I613" i="3"/>
  <c r="P613" i="3"/>
  <c r="N613" i="3"/>
  <c r="H613" i="3"/>
  <c r="F613" i="3"/>
  <c r="D613" i="3"/>
  <c r="B613" i="3"/>
  <c r="S612" i="3"/>
  <c r="J609" i="2" s="1"/>
  <c r="Q612" i="3"/>
  <c r="L612" i="3"/>
  <c r="K612" i="3"/>
  <c r="I612" i="3"/>
  <c r="P612" i="3"/>
  <c r="N612" i="3"/>
  <c r="H612" i="3"/>
  <c r="F612" i="3"/>
  <c r="D612" i="3"/>
  <c r="B612" i="3"/>
  <c r="S611" i="3"/>
  <c r="J608" i="2" s="1"/>
  <c r="Q611" i="3"/>
  <c r="L611" i="3"/>
  <c r="K611" i="3"/>
  <c r="I611" i="3"/>
  <c r="P611" i="3"/>
  <c r="N611" i="3"/>
  <c r="H611" i="3"/>
  <c r="F611" i="3"/>
  <c r="D611" i="3"/>
  <c r="B611" i="3"/>
  <c r="S610" i="3"/>
  <c r="J607" i="2" s="1"/>
  <c r="Q610" i="3"/>
  <c r="L610" i="3"/>
  <c r="K610" i="3"/>
  <c r="I610" i="3"/>
  <c r="P610" i="3"/>
  <c r="N610" i="3"/>
  <c r="H610" i="3"/>
  <c r="F610" i="3"/>
  <c r="D610" i="3"/>
  <c r="B610" i="3"/>
  <c r="S609" i="3"/>
  <c r="J606" i="2" s="1"/>
  <c r="Q609" i="3"/>
  <c r="L609" i="3"/>
  <c r="K609" i="3"/>
  <c r="I609" i="3"/>
  <c r="P609" i="3"/>
  <c r="N609" i="3"/>
  <c r="H609" i="3"/>
  <c r="F609" i="3"/>
  <c r="D609" i="3"/>
  <c r="B609" i="3"/>
  <c r="S608" i="3"/>
  <c r="J605" i="2" s="1"/>
  <c r="Q608" i="3"/>
  <c r="L608" i="3"/>
  <c r="K608" i="3"/>
  <c r="I608" i="3"/>
  <c r="P608" i="3"/>
  <c r="N608" i="3"/>
  <c r="H608" i="3"/>
  <c r="F608" i="3"/>
  <c r="D608" i="3"/>
  <c r="B608" i="3"/>
  <c r="S607" i="3"/>
  <c r="J604" i="2" s="1"/>
  <c r="Q607" i="3"/>
  <c r="L607" i="3"/>
  <c r="K607" i="3"/>
  <c r="I607" i="3"/>
  <c r="P607" i="3"/>
  <c r="N607" i="3"/>
  <c r="H607" i="3"/>
  <c r="F607" i="3"/>
  <c r="D607" i="3"/>
  <c r="B607" i="3"/>
  <c r="S606" i="3"/>
  <c r="J603" i="2" s="1"/>
  <c r="Q606" i="3"/>
  <c r="L606" i="3"/>
  <c r="K606" i="3"/>
  <c r="I606" i="3"/>
  <c r="P606" i="3"/>
  <c r="N606" i="3"/>
  <c r="H606" i="3"/>
  <c r="F606" i="3"/>
  <c r="D606" i="3"/>
  <c r="B606" i="3"/>
  <c r="S605" i="3"/>
  <c r="J602" i="2" s="1"/>
  <c r="Q605" i="3"/>
  <c r="L605" i="3"/>
  <c r="K605" i="3"/>
  <c r="I605" i="3"/>
  <c r="P605" i="3"/>
  <c r="N605" i="3"/>
  <c r="H605" i="3"/>
  <c r="F605" i="3"/>
  <c r="D605" i="3"/>
  <c r="B605" i="3"/>
  <c r="S604" i="3"/>
  <c r="J601" i="2" s="1"/>
  <c r="Q604" i="3"/>
  <c r="L604" i="3"/>
  <c r="K604" i="3"/>
  <c r="I604" i="3"/>
  <c r="P604" i="3"/>
  <c r="N604" i="3"/>
  <c r="H604" i="3"/>
  <c r="F604" i="3"/>
  <c r="D604" i="3"/>
  <c r="B604" i="3"/>
  <c r="S603" i="3"/>
  <c r="J600" i="2" s="1"/>
  <c r="Q603" i="3"/>
  <c r="L603" i="3"/>
  <c r="K603" i="3"/>
  <c r="I603" i="3"/>
  <c r="P603" i="3"/>
  <c r="N603" i="3"/>
  <c r="H603" i="3"/>
  <c r="F603" i="3"/>
  <c r="D603" i="3"/>
  <c r="B603" i="3"/>
  <c r="S602" i="3"/>
  <c r="J599" i="2" s="1"/>
  <c r="Q602" i="3"/>
  <c r="L602" i="3"/>
  <c r="K602" i="3"/>
  <c r="I602" i="3"/>
  <c r="P602" i="3"/>
  <c r="N602" i="3"/>
  <c r="H602" i="3"/>
  <c r="F602" i="3"/>
  <c r="D602" i="3"/>
  <c r="B602" i="3"/>
  <c r="S601" i="3"/>
  <c r="J598" i="2" s="1"/>
  <c r="Q601" i="3"/>
  <c r="L601" i="3"/>
  <c r="K601" i="3"/>
  <c r="I601" i="3"/>
  <c r="P601" i="3"/>
  <c r="N601" i="3"/>
  <c r="H601" i="3"/>
  <c r="F601" i="3"/>
  <c r="D601" i="3"/>
  <c r="B601" i="3"/>
  <c r="S600" i="3"/>
  <c r="J597" i="2" s="1"/>
  <c r="Q600" i="3"/>
  <c r="L600" i="3"/>
  <c r="K600" i="3"/>
  <c r="I600" i="3"/>
  <c r="P600" i="3"/>
  <c r="N600" i="3"/>
  <c r="H600" i="3"/>
  <c r="F600" i="3"/>
  <c r="D600" i="3"/>
  <c r="B600" i="3"/>
  <c r="S599" i="3"/>
  <c r="J596" i="2" s="1"/>
  <c r="Q599" i="3"/>
  <c r="L599" i="3"/>
  <c r="K599" i="3"/>
  <c r="I599" i="3"/>
  <c r="P599" i="3"/>
  <c r="N599" i="3"/>
  <c r="H599" i="3"/>
  <c r="F599" i="3"/>
  <c r="D599" i="3"/>
  <c r="B599" i="3"/>
  <c r="S598" i="3"/>
  <c r="J595" i="2" s="1"/>
  <c r="Q598" i="3"/>
  <c r="L598" i="3"/>
  <c r="K598" i="3"/>
  <c r="I598" i="3"/>
  <c r="P598" i="3"/>
  <c r="N598" i="3"/>
  <c r="H598" i="3"/>
  <c r="F598" i="3"/>
  <c r="D598" i="3"/>
  <c r="B598" i="3"/>
  <c r="S597" i="3"/>
  <c r="J594" i="2" s="1"/>
  <c r="Q597" i="3"/>
  <c r="L597" i="3"/>
  <c r="K597" i="3"/>
  <c r="I597" i="3"/>
  <c r="P597" i="3"/>
  <c r="N597" i="3"/>
  <c r="H597" i="3"/>
  <c r="F597" i="3"/>
  <c r="D597" i="3"/>
  <c r="B597" i="3"/>
  <c r="S596" i="3"/>
  <c r="J593" i="2" s="1"/>
  <c r="Q596" i="3"/>
  <c r="L596" i="3"/>
  <c r="K596" i="3"/>
  <c r="I596" i="3"/>
  <c r="P596" i="3"/>
  <c r="N596" i="3"/>
  <c r="H596" i="3"/>
  <c r="F596" i="3"/>
  <c r="D596" i="3"/>
  <c r="B596" i="3"/>
  <c r="S595" i="3"/>
  <c r="J592" i="2" s="1"/>
  <c r="Q595" i="3"/>
  <c r="L595" i="3"/>
  <c r="K595" i="3"/>
  <c r="I595" i="3"/>
  <c r="P595" i="3"/>
  <c r="N595" i="3"/>
  <c r="H595" i="3"/>
  <c r="F595" i="3"/>
  <c r="D595" i="3"/>
  <c r="B595" i="3"/>
  <c r="S594" i="3"/>
  <c r="J591" i="2" s="1"/>
  <c r="Q594" i="3"/>
  <c r="L594" i="3"/>
  <c r="K594" i="3"/>
  <c r="I594" i="3"/>
  <c r="P594" i="3"/>
  <c r="N594" i="3"/>
  <c r="H594" i="3"/>
  <c r="F594" i="3"/>
  <c r="D594" i="3"/>
  <c r="B594" i="3"/>
  <c r="S593" i="3"/>
  <c r="J590" i="2" s="1"/>
  <c r="Q593" i="3"/>
  <c r="L593" i="3"/>
  <c r="K593" i="3"/>
  <c r="I593" i="3"/>
  <c r="P593" i="3"/>
  <c r="N593" i="3"/>
  <c r="H593" i="3"/>
  <c r="F593" i="3"/>
  <c r="D593" i="3"/>
  <c r="B593" i="3"/>
  <c r="S592" i="3"/>
  <c r="J589" i="2" s="1"/>
  <c r="Q592" i="3"/>
  <c r="L592" i="3"/>
  <c r="K592" i="3"/>
  <c r="I592" i="3"/>
  <c r="P592" i="3"/>
  <c r="N592" i="3"/>
  <c r="H592" i="3"/>
  <c r="F592" i="3"/>
  <c r="D592" i="3"/>
  <c r="B592" i="3"/>
  <c r="S591" i="3"/>
  <c r="J588" i="2" s="1"/>
  <c r="Q591" i="3"/>
  <c r="L591" i="3"/>
  <c r="K591" i="3"/>
  <c r="I591" i="3"/>
  <c r="P591" i="3"/>
  <c r="N591" i="3"/>
  <c r="H591" i="3"/>
  <c r="F591" i="3"/>
  <c r="D591" i="3"/>
  <c r="B591" i="3"/>
  <c r="S590" i="3"/>
  <c r="J587" i="2" s="1"/>
  <c r="Q590" i="3"/>
  <c r="L590" i="3"/>
  <c r="K590" i="3"/>
  <c r="I590" i="3"/>
  <c r="P590" i="3"/>
  <c r="N590" i="3"/>
  <c r="H590" i="3"/>
  <c r="F590" i="3"/>
  <c r="D590" i="3"/>
  <c r="B590" i="3"/>
  <c r="S589" i="3"/>
  <c r="J586" i="2" s="1"/>
  <c r="Q589" i="3"/>
  <c r="L589" i="3"/>
  <c r="K589" i="3"/>
  <c r="I589" i="3"/>
  <c r="P589" i="3"/>
  <c r="N589" i="3"/>
  <c r="H589" i="3"/>
  <c r="F589" i="3"/>
  <c r="D589" i="3"/>
  <c r="B589" i="3"/>
  <c r="S588" i="3"/>
  <c r="J585" i="2" s="1"/>
  <c r="Q588" i="3"/>
  <c r="L588" i="3"/>
  <c r="K588" i="3"/>
  <c r="I588" i="3"/>
  <c r="P588" i="3"/>
  <c r="N588" i="3"/>
  <c r="H588" i="3"/>
  <c r="F588" i="3"/>
  <c r="D588" i="3"/>
  <c r="B588" i="3"/>
  <c r="S587" i="3"/>
  <c r="J584" i="2" s="1"/>
  <c r="Q587" i="3"/>
  <c r="L587" i="3"/>
  <c r="K587" i="3"/>
  <c r="I587" i="3"/>
  <c r="P587" i="3"/>
  <c r="N587" i="3"/>
  <c r="H587" i="3"/>
  <c r="F587" i="3"/>
  <c r="D587" i="3"/>
  <c r="B587" i="3"/>
  <c r="S586" i="3"/>
  <c r="J583" i="2" s="1"/>
  <c r="Q586" i="3"/>
  <c r="L586" i="3"/>
  <c r="K586" i="3"/>
  <c r="I586" i="3"/>
  <c r="P586" i="3"/>
  <c r="N586" i="3"/>
  <c r="H586" i="3"/>
  <c r="F586" i="3"/>
  <c r="D586" i="3"/>
  <c r="B586" i="3"/>
  <c r="S585" i="3"/>
  <c r="J582" i="2" s="1"/>
  <c r="Q585" i="3"/>
  <c r="L585" i="3"/>
  <c r="K585" i="3"/>
  <c r="I585" i="3"/>
  <c r="P585" i="3"/>
  <c r="N585" i="3"/>
  <c r="H585" i="3"/>
  <c r="F585" i="3"/>
  <c r="D585" i="3"/>
  <c r="B585" i="3"/>
  <c r="S584" i="3"/>
  <c r="J581" i="2" s="1"/>
  <c r="Q584" i="3"/>
  <c r="L584" i="3"/>
  <c r="K584" i="3"/>
  <c r="I584" i="3"/>
  <c r="P584" i="3"/>
  <c r="N584" i="3"/>
  <c r="H584" i="3"/>
  <c r="F584" i="3"/>
  <c r="D584" i="3"/>
  <c r="B584" i="3"/>
  <c r="S583" i="3"/>
  <c r="J580" i="2" s="1"/>
  <c r="Q583" i="3"/>
  <c r="L583" i="3"/>
  <c r="K583" i="3"/>
  <c r="I583" i="3"/>
  <c r="P583" i="3"/>
  <c r="N583" i="3"/>
  <c r="H583" i="3"/>
  <c r="F583" i="3"/>
  <c r="D583" i="3"/>
  <c r="B583" i="3"/>
  <c r="S582" i="3"/>
  <c r="J579" i="2" s="1"/>
  <c r="Q582" i="3"/>
  <c r="L582" i="3"/>
  <c r="K582" i="3"/>
  <c r="I582" i="3"/>
  <c r="P582" i="3"/>
  <c r="N582" i="3"/>
  <c r="H582" i="3"/>
  <c r="F582" i="3"/>
  <c r="D582" i="3"/>
  <c r="B582" i="3"/>
  <c r="S581" i="3"/>
  <c r="J578" i="2" s="1"/>
  <c r="Q581" i="3"/>
  <c r="L581" i="3"/>
  <c r="K581" i="3"/>
  <c r="I581" i="3"/>
  <c r="P581" i="3"/>
  <c r="N581" i="3"/>
  <c r="H581" i="3"/>
  <c r="F581" i="3"/>
  <c r="D581" i="3"/>
  <c r="B581" i="3"/>
  <c r="S580" i="3"/>
  <c r="J577" i="2" s="1"/>
  <c r="Q580" i="3"/>
  <c r="L580" i="3"/>
  <c r="K580" i="3"/>
  <c r="I580" i="3"/>
  <c r="P580" i="3"/>
  <c r="N580" i="3"/>
  <c r="H580" i="3"/>
  <c r="F580" i="3"/>
  <c r="D580" i="3"/>
  <c r="B580" i="3"/>
  <c r="S579" i="3"/>
  <c r="J576" i="2" s="1"/>
  <c r="Q579" i="3"/>
  <c r="L579" i="3"/>
  <c r="K579" i="3"/>
  <c r="I579" i="3"/>
  <c r="P579" i="3"/>
  <c r="N579" i="3"/>
  <c r="H579" i="3"/>
  <c r="F579" i="3"/>
  <c r="D579" i="3"/>
  <c r="B579" i="3"/>
  <c r="S578" i="3"/>
  <c r="J575" i="2" s="1"/>
  <c r="Q578" i="3"/>
  <c r="L578" i="3"/>
  <c r="K578" i="3"/>
  <c r="I578" i="3"/>
  <c r="P578" i="3"/>
  <c r="N578" i="3"/>
  <c r="H578" i="3"/>
  <c r="F578" i="3"/>
  <c r="D578" i="3"/>
  <c r="B578" i="3"/>
  <c r="S577" i="3"/>
  <c r="J574" i="2" s="1"/>
  <c r="Q577" i="3"/>
  <c r="L577" i="3"/>
  <c r="K577" i="3"/>
  <c r="I577" i="3"/>
  <c r="P577" i="3"/>
  <c r="N577" i="3"/>
  <c r="H577" i="3"/>
  <c r="F577" i="3"/>
  <c r="D577" i="3"/>
  <c r="B577" i="3"/>
  <c r="S576" i="3"/>
  <c r="J573" i="2" s="1"/>
  <c r="Q576" i="3"/>
  <c r="L576" i="3"/>
  <c r="K576" i="3"/>
  <c r="I576" i="3"/>
  <c r="P576" i="3"/>
  <c r="N576" i="3"/>
  <c r="H576" i="3"/>
  <c r="F576" i="3"/>
  <c r="D576" i="3"/>
  <c r="B576" i="3"/>
  <c r="S575" i="3"/>
  <c r="J572" i="2" s="1"/>
  <c r="Q575" i="3"/>
  <c r="L575" i="3"/>
  <c r="K575" i="3"/>
  <c r="I575" i="3"/>
  <c r="P575" i="3"/>
  <c r="N575" i="3"/>
  <c r="H575" i="3"/>
  <c r="F575" i="3"/>
  <c r="D575" i="3"/>
  <c r="B575" i="3"/>
  <c r="S574" i="3"/>
  <c r="J571" i="2" s="1"/>
  <c r="Q574" i="3"/>
  <c r="L574" i="3"/>
  <c r="K574" i="3"/>
  <c r="I574" i="3"/>
  <c r="P574" i="3"/>
  <c r="N574" i="3"/>
  <c r="H574" i="3"/>
  <c r="F574" i="3"/>
  <c r="D574" i="3"/>
  <c r="B574" i="3"/>
  <c r="S573" i="3"/>
  <c r="J570" i="2" s="1"/>
  <c r="Q573" i="3"/>
  <c r="L573" i="3"/>
  <c r="K573" i="3"/>
  <c r="I573" i="3"/>
  <c r="P573" i="3"/>
  <c r="N573" i="3"/>
  <c r="H573" i="3"/>
  <c r="F573" i="3"/>
  <c r="D573" i="3"/>
  <c r="B573" i="3"/>
  <c r="S572" i="3"/>
  <c r="J569" i="2" s="1"/>
  <c r="Q572" i="3"/>
  <c r="L572" i="3"/>
  <c r="K572" i="3"/>
  <c r="I572" i="3"/>
  <c r="P572" i="3"/>
  <c r="N572" i="3"/>
  <c r="H572" i="3"/>
  <c r="F572" i="3"/>
  <c r="D572" i="3"/>
  <c r="B572" i="3"/>
  <c r="S571" i="3"/>
  <c r="J568" i="2" s="1"/>
  <c r="Q571" i="3"/>
  <c r="L571" i="3"/>
  <c r="K571" i="3"/>
  <c r="I571" i="3"/>
  <c r="P571" i="3"/>
  <c r="N571" i="3"/>
  <c r="H571" i="3"/>
  <c r="F571" i="3"/>
  <c r="D571" i="3"/>
  <c r="B571" i="3"/>
  <c r="S570" i="3"/>
  <c r="J567" i="2" s="1"/>
  <c r="Q570" i="3"/>
  <c r="L570" i="3"/>
  <c r="K570" i="3"/>
  <c r="I570" i="3"/>
  <c r="P570" i="3"/>
  <c r="N570" i="3"/>
  <c r="H570" i="3"/>
  <c r="F570" i="3"/>
  <c r="D570" i="3"/>
  <c r="B570" i="3"/>
  <c r="S569" i="3"/>
  <c r="J566" i="2" s="1"/>
  <c r="Q569" i="3"/>
  <c r="L569" i="3"/>
  <c r="K569" i="3"/>
  <c r="I569" i="3"/>
  <c r="P569" i="3"/>
  <c r="N569" i="3"/>
  <c r="H569" i="3"/>
  <c r="F569" i="3"/>
  <c r="D569" i="3"/>
  <c r="B569" i="3"/>
  <c r="S568" i="3"/>
  <c r="J565" i="2" s="1"/>
  <c r="Q568" i="3"/>
  <c r="L568" i="3"/>
  <c r="K568" i="3"/>
  <c r="I568" i="3"/>
  <c r="P568" i="3"/>
  <c r="N568" i="3"/>
  <c r="H568" i="3"/>
  <c r="F568" i="3"/>
  <c r="D568" i="3"/>
  <c r="B568" i="3"/>
  <c r="S567" i="3"/>
  <c r="J564" i="2" s="1"/>
  <c r="Q567" i="3"/>
  <c r="L567" i="3"/>
  <c r="K567" i="3"/>
  <c r="I567" i="3"/>
  <c r="P567" i="3"/>
  <c r="N567" i="3"/>
  <c r="H567" i="3"/>
  <c r="F567" i="3"/>
  <c r="D567" i="3"/>
  <c r="B567" i="3"/>
  <c r="S566" i="3"/>
  <c r="J563" i="2" s="1"/>
  <c r="Q566" i="3"/>
  <c r="L566" i="3"/>
  <c r="K566" i="3"/>
  <c r="I566" i="3"/>
  <c r="P566" i="3"/>
  <c r="N566" i="3"/>
  <c r="H566" i="3"/>
  <c r="F566" i="3"/>
  <c r="D566" i="3"/>
  <c r="B566" i="3"/>
  <c r="S565" i="3"/>
  <c r="J562" i="2" s="1"/>
  <c r="Q565" i="3"/>
  <c r="L565" i="3"/>
  <c r="K565" i="3"/>
  <c r="I565" i="3"/>
  <c r="P565" i="3"/>
  <c r="N565" i="3"/>
  <c r="H565" i="3"/>
  <c r="F565" i="3"/>
  <c r="D565" i="3"/>
  <c r="B565" i="3"/>
  <c r="S564" i="3"/>
  <c r="J561" i="2" s="1"/>
  <c r="Q564" i="3"/>
  <c r="L564" i="3"/>
  <c r="K564" i="3"/>
  <c r="I564" i="3"/>
  <c r="P564" i="3"/>
  <c r="N564" i="3"/>
  <c r="H564" i="3"/>
  <c r="F564" i="3"/>
  <c r="D564" i="3"/>
  <c r="B564" i="3"/>
  <c r="S563" i="3"/>
  <c r="J560" i="2" s="1"/>
  <c r="Q563" i="3"/>
  <c r="L563" i="3"/>
  <c r="K563" i="3"/>
  <c r="I563" i="3"/>
  <c r="P563" i="3"/>
  <c r="N563" i="3"/>
  <c r="H563" i="3"/>
  <c r="F563" i="3"/>
  <c r="D563" i="3"/>
  <c r="B563" i="3"/>
  <c r="S562" i="3"/>
  <c r="J559" i="2" s="1"/>
  <c r="Q562" i="3"/>
  <c r="L562" i="3"/>
  <c r="K562" i="3"/>
  <c r="I562" i="3"/>
  <c r="P562" i="3"/>
  <c r="N562" i="3"/>
  <c r="H562" i="3"/>
  <c r="F562" i="3"/>
  <c r="D562" i="3"/>
  <c r="B562" i="3"/>
  <c r="S561" i="3"/>
  <c r="J558" i="2" s="1"/>
  <c r="Q561" i="3"/>
  <c r="L561" i="3"/>
  <c r="K561" i="3"/>
  <c r="I561" i="3"/>
  <c r="P561" i="3"/>
  <c r="N561" i="3"/>
  <c r="H561" i="3"/>
  <c r="F561" i="3"/>
  <c r="D561" i="3"/>
  <c r="B561" i="3"/>
  <c r="S560" i="3"/>
  <c r="J557" i="2" s="1"/>
  <c r="Q560" i="3"/>
  <c r="L560" i="3"/>
  <c r="K560" i="3"/>
  <c r="I560" i="3"/>
  <c r="P560" i="3"/>
  <c r="N560" i="3"/>
  <c r="H560" i="3"/>
  <c r="F560" i="3"/>
  <c r="D560" i="3"/>
  <c r="B560" i="3"/>
  <c r="S559" i="3"/>
  <c r="J556" i="2" s="1"/>
  <c r="Q559" i="3"/>
  <c r="L559" i="3"/>
  <c r="K559" i="3"/>
  <c r="I559" i="3"/>
  <c r="P559" i="3"/>
  <c r="N559" i="3"/>
  <c r="H559" i="3"/>
  <c r="F559" i="3"/>
  <c r="D559" i="3"/>
  <c r="B559" i="3"/>
  <c r="S558" i="3"/>
  <c r="J555" i="2" s="1"/>
  <c r="Q558" i="3"/>
  <c r="L558" i="3"/>
  <c r="K558" i="3"/>
  <c r="I558" i="3"/>
  <c r="P558" i="3"/>
  <c r="N558" i="3"/>
  <c r="H558" i="3"/>
  <c r="F558" i="3"/>
  <c r="D558" i="3"/>
  <c r="B558" i="3"/>
  <c r="S557" i="3"/>
  <c r="J554" i="2" s="1"/>
  <c r="Q557" i="3"/>
  <c r="L557" i="3"/>
  <c r="K557" i="3"/>
  <c r="I557" i="3"/>
  <c r="P557" i="3"/>
  <c r="N557" i="3"/>
  <c r="H557" i="3"/>
  <c r="F557" i="3"/>
  <c r="D557" i="3"/>
  <c r="B557" i="3"/>
  <c r="S556" i="3"/>
  <c r="J553" i="2" s="1"/>
  <c r="Q556" i="3"/>
  <c r="L556" i="3"/>
  <c r="K556" i="3"/>
  <c r="I556" i="3"/>
  <c r="P556" i="3"/>
  <c r="N556" i="3"/>
  <c r="H556" i="3"/>
  <c r="F556" i="3"/>
  <c r="D556" i="3"/>
  <c r="B556" i="3"/>
  <c r="S555" i="3"/>
  <c r="J552" i="2" s="1"/>
  <c r="Q555" i="3"/>
  <c r="L555" i="3"/>
  <c r="K555" i="3"/>
  <c r="I555" i="3"/>
  <c r="P555" i="3"/>
  <c r="N555" i="3"/>
  <c r="H555" i="3"/>
  <c r="F555" i="3"/>
  <c r="D555" i="3"/>
  <c r="B555" i="3"/>
  <c r="S554" i="3"/>
  <c r="J551" i="2" s="1"/>
  <c r="Q554" i="3"/>
  <c r="L554" i="3"/>
  <c r="K554" i="3"/>
  <c r="I554" i="3"/>
  <c r="P554" i="3"/>
  <c r="N554" i="3"/>
  <c r="H554" i="3"/>
  <c r="F554" i="3"/>
  <c r="D554" i="3"/>
  <c r="B554" i="3"/>
  <c r="S553" i="3"/>
  <c r="J550" i="2" s="1"/>
  <c r="Q553" i="3"/>
  <c r="L553" i="3"/>
  <c r="K553" i="3"/>
  <c r="I553" i="3"/>
  <c r="P553" i="3"/>
  <c r="N553" i="3"/>
  <c r="H553" i="3"/>
  <c r="F553" i="3"/>
  <c r="D553" i="3"/>
  <c r="B553" i="3"/>
  <c r="S552" i="3"/>
  <c r="J549" i="2" s="1"/>
  <c r="Q552" i="3"/>
  <c r="L552" i="3"/>
  <c r="K552" i="3"/>
  <c r="I552" i="3"/>
  <c r="P552" i="3"/>
  <c r="N552" i="3"/>
  <c r="H552" i="3"/>
  <c r="F552" i="3"/>
  <c r="D552" i="3"/>
  <c r="B552" i="3"/>
  <c r="S551" i="3"/>
  <c r="J548" i="2" s="1"/>
  <c r="Q551" i="3"/>
  <c r="L551" i="3"/>
  <c r="K551" i="3"/>
  <c r="I551" i="3"/>
  <c r="P551" i="3"/>
  <c r="N551" i="3"/>
  <c r="H551" i="3"/>
  <c r="F551" i="3"/>
  <c r="D551" i="3"/>
  <c r="B551" i="3"/>
  <c r="S550" i="3"/>
  <c r="J547" i="2" s="1"/>
  <c r="Q550" i="3"/>
  <c r="L550" i="3"/>
  <c r="K550" i="3"/>
  <c r="I550" i="3"/>
  <c r="P550" i="3"/>
  <c r="N550" i="3"/>
  <c r="H550" i="3"/>
  <c r="F550" i="3"/>
  <c r="D550" i="3"/>
  <c r="B550" i="3"/>
  <c r="S549" i="3"/>
  <c r="J546" i="2" s="1"/>
  <c r="Q549" i="3"/>
  <c r="L549" i="3"/>
  <c r="K549" i="3"/>
  <c r="I549" i="3"/>
  <c r="P549" i="3"/>
  <c r="N549" i="3"/>
  <c r="H549" i="3"/>
  <c r="F549" i="3"/>
  <c r="D549" i="3"/>
  <c r="B549" i="3"/>
  <c r="S548" i="3"/>
  <c r="J545" i="2" s="1"/>
  <c r="Q548" i="3"/>
  <c r="L548" i="3"/>
  <c r="K548" i="3"/>
  <c r="I548" i="3"/>
  <c r="P548" i="3"/>
  <c r="N548" i="3"/>
  <c r="H548" i="3"/>
  <c r="F548" i="3"/>
  <c r="D548" i="3"/>
  <c r="B548" i="3"/>
  <c r="S547" i="3"/>
  <c r="J544" i="2" s="1"/>
  <c r="Q547" i="3"/>
  <c r="L547" i="3"/>
  <c r="K547" i="3"/>
  <c r="I547" i="3"/>
  <c r="P547" i="3"/>
  <c r="N547" i="3"/>
  <c r="H547" i="3"/>
  <c r="F547" i="3"/>
  <c r="D547" i="3"/>
  <c r="B547" i="3"/>
  <c r="S546" i="3"/>
  <c r="J543" i="2" s="1"/>
  <c r="Q546" i="3"/>
  <c r="L546" i="3"/>
  <c r="K546" i="3"/>
  <c r="I546" i="3"/>
  <c r="P546" i="3"/>
  <c r="N546" i="3"/>
  <c r="H546" i="3"/>
  <c r="F546" i="3"/>
  <c r="D546" i="3"/>
  <c r="B546" i="3"/>
  <c r="S545" i="3"/>
  <c r="J542" i="2" s="1"/>
  <c r="Q545" i="3"/>
  <c r="L545" i="3"/>
  <c r="K545" i="3"/>
  <c r="I545" i="3"/>
  <c r="P545" i="3"/>
  <c r="N545" i="3"/>
  <c r="H545" i="3"/>
  <c r="F545" i="3"/>
  <c r="D545" i="3"/>
  <c r="B545" i="3"/>
  <c r="S544" i="3"/>
  <c r="J541" i="2" s="1"/>
  <c r="Q544" i="3"/>
  <c r="L544" i="3"/>
  <c r="K544" i="3"/>
  <c r="I544" i="3"/>
  <c r="P544" i="3"/>
  <c r="N544" i="3"/>
  <c r="H544" i="3"/>
  <c r="F544" i="3"/>
  <c r="D544" i="3"/>
  <c r="B544" i="3"/>
  <c r="S543" i="3"/>
  <c r="J540" i="2" s="1"/>
  <c r="Q543" i="3"/>
  <c r="L543" i="3"/>
  <c r="K543" i="3"/>
  <c r="I543" i="3"/>
  <c r="P543" i="3"/>
  <c r="N543" i="3"/>
  <c r="H543" i="3"/>
  <c r="F543" i="3"/>
  <c r="D543" i="3"/>
  <c r="B543" i="3"/>
  <c r="S542" i="3"/>
  <c r="J539" i="2" s="1"/>
  <c r="Q542" i="3"/>
  <c r="L542" i="3"/>
  <c r="K542" i="3"/>
  <c r="I542" i="3"/>
  <c r="P542" i="3"/>
  <c r="N542" i="3"/>
  <c r="H542" i="3"/>
  <c r="F542" i="3"/>
  <c r="D542" i="3"/>
  <c r="B542" i="3"/>
  <c r="S541" i="3"/>
  <c r="J538" i="2" s="1"/>
  <c r="Q541" i="3"/>
  <c r="L541" i="3"/>
  <c r="K541" i="3"/>
  <c r="I541" i="3"/>
  <c r="P541" i="3"/>
  <c r="N541" i="3"/>
  <c r="H541" i="3"/>
  <c r="F541" i="3"/>
  <c r="D541" i="3"/>
  <c r="B541" i="3"/>
  <c r="S540" i="3"/>
  <c r="J537" i="2" s="1"/>
  <c r="Q540" i="3"/>
  <c r="L540" i="3"/>
  <c r="K540" i="3"/>
  <c r="I540" i="3"/>
  <c r="P540" i="3"/>
  <c r="N540" i="3"/>
  <c r="H540" i="3"/>
  <c r="F540" i="3"/>
  <c r="D540" i="3"/>
  <c r="B540" i="3"/>
  <c r="S539" i="3"/>
  <c r="J536" i="2" s="1"/>
  <c r="Q539" i="3"/>
  <c r="L539" i="3"/>
  <c r="K539" i="3"/>
  <c r="I539" i="3"/>
  <c r="P539" i="3"/>
  <c r="N539" i="3"/>
  <c r="H539" i="3"/>
  <c r="F539" i="3"/>
  <c r="D539" i="3"/>
  <c r="B539" i="3"/>
  <c r="S538" i="3"/>
  <c r="J535" i="2" s="1"/>
  <c r="Q538" i="3"/>
  <c r="L538" i="3"/>
  <c r="K538" i="3"/>
  <c r="I538" i="3"/>
  <c r="P538" i="3"/>
  <c r="N538" i="3"/>
  <c r="H538" i="3"/>
  <c r="F538" i="3"/>
  <c r="D538" i="3"/>
  <c r="B538" i="3"/>
  <c r="S537" i="3"/>
  <c r="J534" i="2" s="1"/>
  <c r="Q537" i="3"/>
  <c r="L537" i="3"/>
  <c r="K537" i="3"/>
  <c r="I537" i="3"/>
  <c r="P537" i="3"/>
  <c r="N537" i="3"/>
  <c r="H537" i="3"/>
  <c r="F537" i="3"/>
  <c r="D537" i="3"/>
  <c r="B537" i="3"/>
  <c r="S536" i="3"/>
  <c r="J533" i="2" s="1"/>
  <c r="Q536" i="3"/>
  <c r="L536" i="3"/>
  <c r="K536" i="3"/>
  <c r="I536" i="3"/>
  <c r="P536" i="3"/>
  <c r="N536" i="3"/>
  <c r="H536" i="3"/>
  <c r="F536" i="3"/>
  <c r="D536" i="3"/>
  <c r="B536" i="3"/>
  <c r="S535" i="3"/>
  <c r="J532" i="2" s="1"/>
  <c r="Q535" i="3"/>
  <c r="L535" i="3"/>
  <c r="K535" i="3"/>
  <c r="I535" i="3"/>
  <c r="P535" i="3"/>
  <c r="N535" i="3"/>
  <c r="H535" i="3"/>
  <c r="F535" i="3"/>
  <c r="D535" i="3"/>
  <c r="B535" i="3"/>
  <c r="S534" i="3"/>
  <c r="J531" i="2" s="1"/>
  <c r="Q534" i="3"/>
  <c r="L534" i="3"/>
  <c r="K534" i="3"/>
  <c r="I534" i="3"/>
  <c r="P534" i="3"/>
  <c r="N534" i="3"/>
  <c r="H534" i="3"/>
  <c r="F534" i="3"/>
  <c r="D534" i="3"/>
  <c r="B534" i="3"/>
  <c r="S533" i="3"/>
  <c r="J530" i="2" s="1"/>
  <c r="Q533" i="3"/>
  <c r="L533" i="3"/>
  <c r="K533" i="3"/>
  <c r="I533" i="3"/>
  <c r="P533" i="3"/>
  <c r="N533" i="3"/>
  <c r="H533" i="3"/>
  <c r="F533" i="3"/>
  <c r="D533" i="3"/>
  <c r="B533" i="3"/>
  <c r="S532" i="3"/>
  <c r="J529" i="2" s="1"/>
  <c r="Q532" i="3"/>
  <c r="L532" i="3"/>
  <c r="K532" i="3"/>
  <c r="I532" i="3"/>
  <c r="P532" i="3"/>
  <c r="N532" i="3"/>
  <c r="H532" i="3"/>
  <c r="F532" i="3"/>
  <c r="D532" i="3"/>
  <c r="B532" i="3"/>
  <c r="S531" i="3"/>
  <c r="J528" i="2" s="1"/>
  <c r="Q531" i="3"/>
  <c r="L531" i="3"/>
  <c r="K531" i="3"/>
  <c r="I531" i="3"/>
  <c r="P531" i="3"/>
  <c r="N531" i="3"/>
  <c r="H531" i="3"/>
  <c r="F531" i="3"/>
  <c r="D531" i="3"/>
  <c r="B531" i="3"/>
  <c r="S530" i="3"/>
  <c r="J527" i="2" s="1"/>
  <c r="Q530" i="3"/>
  <c r="L530" i="3"/>
  <c r="K530" i="3"/>
  <c r="I530" i="3"/>
  <c r="P530" i="3"/>
  <c r="N530" i="3"/>
  <c r="H530" i="3"/>
  <c r="F530" i="3"/>
  <c r="D530" i="3"/>
  <c r="B530" i="3"/>
  <c r="S529" i="3"/>
  <c r="J526" i="2" s="1"/>
  <c r="Q529" i="3"/>
  <c r="L529" i="3"/>
  <c r="K529" i="3"/>
  <c r="I529" i="3"/>
  <c r="P529" i="3"/>
  <c r="N529" i="3"/>
  <c r="H529" i="3"/>
  <c r="F529" i="3"/>
  <c r="D529" i="3"/>
  <c r="B529" i="3"/>
  <c r="S528" i="3"/>
  <c r="J525" i="2" s="1"/>
  <c r="Q528" i="3"/>
  <c r="L528" i="3"/>
  <c r="K528" i="3"/>
  <c r="I528" i="3"/>
  <c r="P528" i="3"/>
  <c r="N528" i="3"/>
  <c r="H528" i="3"/>
  <c r="F528" i="3"/>
  <c r="D528" i="3"/>
  <c r="B528" i="3"/>
  <c r="S527" i="3"/>
  <c r="J524" i="2" s="1"/>
  <c r="Q527" i="3"/>
  <c r="L527" i="3"/>
  <c r="K527" i="3"/>
  <c r="I527" i="3"/>
  <c r="P527" i="3"/>
  <c r="N527" i="3"/>
  <c r="H527" i="3"/>
  <c r="F527" i="3"/>
  <c r="D527" i="3"/>
  <c r="B527" i="3"/>
  <c r="S526" i="3"/>
  <c r="J523" i="2" s="1"/>
  <c r="Q526" i="3"/>
  <c r="L526" i="3"/>
  <c r="K526" i="3"/>
  <c r="I526" i="3"/>
  <c r="P526" i="3"/>
  <c r="N526" i="3"/>
  <c r="H526" i="3"/>
  <c r="F526" i="3"/>
  <c r="D526" i="3"/>
  <c r="B526" i="3"/>
  <c r="S525" i="3"/>
  <c r="J522" i="2" s="1"/>
  <c r="Q525" i="3"/>
  <c r="L525" i="3"/>
  <c r="K525" i="3"/>
  <c r="I525" i="3"/>
  <c r="P525" i="3"/>
  <c r="N525" i="3"/>
  <c r="H525" i="3"/>
  <c r="F525" i="3"/>
  <c r="D525" i="3"/>
  <c r="B525" i="3"/>
  <c r="S524" i="3"/>
  <c r="J521" i="2" s="1"/>
  <c r="Q524" i="3"/>
  <c r="L524" i="3"/>
  <c r="K524" i="3"/>
  <c r="I524" i="3"/>
  <c r="P524" i="3"/>
  <c r="N524" i="3"/>
  <c r="H524" i="3"/>
  <c r="F524" i="3"/>
  <c r="D524" i="3"/>
  <c r="B524" i="3"/>
  <c r="S523" i="3"/>
  <c r="J520" i="2" s="1"/>
  <c r="Q523" i="3"/>
  <c r="L523" i="3"/>
  <c r="K523" i="3"/>
  <c r="I523" i="3"/>
  <c r="P523" i="3"/>
  <c r="N523" i="3"/>
  <c r="H523" i="3"/>
  <c r="F523" i="3"/>
  <c r="D523" i="3"/>
  <c r="B523" i="3"/>
  <c r="S522" i="3"/>
  <c r="J519" i="2" s="1"/>
  <c r="Q522" i="3"/>
  <c r="L522" i="3"/>
  <c r="K522" i="3"/>
  <c r="I522" i="3"/>
  <c r="P522" i="3"/>
  <c r="N522" i="3"/>
  <c r="H522" i="3"/>
  <c r="F522" i="3"/>
  <c r="D522" i="3"/>
  <c r="B522" i="3"/>
  <c r="S521" i="3"/>
  <c r="J518" i="2" s="1"/>
  <c r="Q521" i="3"/>
  <c r="L521" i="3"/>
  <c r="K521" i="3"/>
  <c r="I521" i="3"/>
  <c r="P521" i="3"/>
  <c r="N521" i="3"/>
  <c r="H521" i="3"/>
  <c r="F521" i="3"/>
  <c r="D521" i="3"/>
  <c r="B521" i="3"/>
  <c r="S520" i="3"/>
  <c r="J517" i="2" s="1"/>
  <c r="Q520" i="3"/>
  <c r="L520" i="3"/>
  <c r="K520" i="3"/>
  <c r="I520" i="3"/>
  <c r="P520" i="3"/>
  <c r="N520" i="3"/>
  <c r="H520" i="3"/>
  <c r="F520" i="3"/>
  <c r="D520" i="3"/>
  <c r="B520" i="3"/>
  <c r="S519" i="3"/>
  <c r="J516" i="2" s="1"/>
  <c r="Q519" i="3"/>
  <c r="L519" i="3"/>
  <c r="K519" i="3"/>
  <c r="I519" i="3"/>
  <c r="P519" i="3"/>
  <c r="N519" i="3"/>
  <c r="H519" i="3"/>
  <c r="F519" i="3"/>
  <c r="D519" i="3"/>
  <c r="B519" i="3"/>
  <c r="S518" i="3"/>
  <c r="J515" i="2" s="1"/>
  <c r="Q518" i="3"/>
  <c r="L518" i="3"/>
  <c r="K518" i="3"/>
  <c r="I518" i="3"/>
  <c r="P518" i="3"/>
  <c r="N518" i="3"/>
  <c r="H518" i="3"/>
  <c r="F518" i="3"/>
  <c r="D518" i="3"/>
  <c r="B518" i="3"/>
  <c r="S517" i="3"/>
  <c r="J514" i="2" s="1"/>
  <c r="Q517" i="3"/>
  <c r="L517" i="3"/>
  <c r="K517" i="3"/>
  <c r="I517" i="3"/>
  <c r="P517" i="3"/>
  <c r="N517" i="3"/>
  <c r="H517" i="3"/>
  <c r="F517" i="3"/>
  <c r="D517" i="3"/>
  <c r="B517" i="3"/>
  <c r="S516" i="3"/>
  <c r="J513" i="2" s="1"/>
  <c r="Q516" i="3"/>
  <c r="L516" i="3"/>
  <c r="K516" i="3"/>
  <c r="I516" i="3"/>
  <c r="P516" i="3"/>
  <c r="N516" i="3"/>
  <c r="H516" i="3"/>
  <c r="F516" i="3"/>
  <c r="D516" i="3"/>
  <c r="B516" i="3"/>
  <c r="S515" i="3"/>
  <c r="J512" i="2" s="1"/>
  <c r="Q515" i="3"/>
  <c r="L515" i="3"/>
  <c r="K515" i="3"/>
  <c r="I515" i="3"/>
  <c r="P515" i="3"/>
  <c r="N515" i="3"/>
  <c r="H515" i="3"/>
  <c r="F515" i="3"/>
  <c r="D515" i="3"/>
  <c r="B515" i="3"/>
  <c r="S514" i="3"/>
  <c r="J511" i="2" s="1"/>
  <c r="Q514" i="3"/>
  <c r="L514" i="3"/>
  <c r="K514" i="3"/>
  <c r="I514" i="3"/>
  <c r="P514" i="3"/>
  <c r="N514" i="3"/>
  <c r="H514" i="3"/>
  <c r="F514" i="3"/>
  <c r="D514" i="3"/>
  <c r="B514" i="3"/>
  <c r="S513" i="3"/>
  <c r="J510" i="2" s="1"/>
  <c r="Q513" i="3"/>
  <c r="L513" i="3"/>
  <c r="K513" i="3"/>
  <c r="I513" i="3"/>
  <c r="P513" i="3"/>
  <c r="N513" i="3"/>
  <c r="H513" i="3"/>
  <c r="F513" i="3"/>
  <c r="D513" i="3"/>
  <c r="B513" i="3"/>
  <c r="S512" i="3"/>
  <c r="J509" i="2" s="1"/>
  <c r="Q512" i="3"/>
  <c r="L512" i="3"/>
  <c r="K512" i="3"/>
  <c r="I512" i="3"/>
  <c r="P512" i="3"/>
  <c r="N512" i="3"/>
  <c r="H512" i="3"/>
  <c r="F512" i="3"/>
  <c r="D512" i="3"/>
  <c r="B512" i="3"/>
  <c r="S511" i="3"/>
  <c r="J508" i="2" s="1"/>
  <c r="Q511" i="3"/>
  <c r="L511" i="3"/>
  <c r="K511" i="3"/>
  <c r="I511" i="3"/>
  <c r="P511" i="3"/>
  <c r="N511" i="3"/>
  <c r="H511" i="3"/>
  <c r="F511" i="3"/>
  <c r="D511" i="3"/>
  <c r="B511" i="3"/>
  <c r="S510" i="3"/>
  <c r="J507" i="2" s="1"/>
  <c r="Q510" i="3"/>
  <c r="L510" i="3"/>
  <c r="K510" i="3"/>
  <c r="I510" i="3"/>
  <c r="P510" i="3"/>
  <c r="N510" i="3"/>
  <c r="H510" i="3"/>
  <c r="F510" i="3"/>
  <c r="D510" i="3"/>
  <c r="B510" i="3"/>
  <c r="S509" i="3"/>
  <c r="J506" i="2" s="1"/>
  <c r="Q509" i="3"/>
  <c r="L509" i="3"/>
  <c r="K509" i="3"/>
  <c r="I509" i="3"/>
  <c r="P509" i="3"/>
  <c r="N509" i="3"/>
  <c r="H509" i="3"/>
  <c r="F509" i="3"/>
  <c r="D509" i="3"/>
  <c r="B509" i="3"/>
  <c r="S508" i="3"/>
  <c r="J505" i="2" s="1"/>
  <c r="Q508" i="3"/>
  <c r="L508" i="3"/>
  <c r="K508" i="3"/>
  <c r="I508" i="3"/>
  <c r="P508" i="3"/>
  <c r="N508" i="3"/>
  <c r="H508" i="3"/>
  <c r="F508" i="3"/>
  <c r="D508" i="3"/>
  <c r="B508" i="3"/>
  <c r="S507" i="3"/>
  <c r="J504" i="2" s="1"/>
  <c r="Q507" i="3"/>
  <c r="L507" i="3"/>
  <c r="K507" i="3"/>
  <c r="I507" i="3"/>
  <c r="P507" i="3"/>
  <c r="N507" i="3"/>
  <c r="H507" i="3"/>
  <c r="F507" i="3"/>
  <c r="D507" i="3"/>
  <c r="B507" i="3"/>
  <c r="S506" i="3"/>
  <c r="J503" i="2" s="1"/>
  <c r="Q506" i="3"/>
  <c r="L506" i="3"/>
  <c r="K506" i="3"/>
  <c r="I506" i="3"/>
  <c r="P506" i="3"/>
  <c r="N506" i="3"/>
  <c r="H506" i="3"/>
  <c r="F506" i="3"/>
  <c r="D506" i="3"/>
  <c r="B506" i="3"/>
  <c r="S505" i="3"/>
  <c r="J502" i="2" s="1"/>
  <c r="Q505" i="3"/>
  <c r="L505" i="3"/>
  <c r="K505" i="3"/>
  <c r="I505" i="3"/>
  <c r="P505" i="3"/>
  <c r="N505" i="3"/>
  <c r="H505" i="3"/>
  <c r="F505" i="3"/>
  <c r="D505" i="3"/>
  <c r="B505" i="3"/>
  <c r="S504" i="3"/>
  <c r="J501" i="2" s="1"/>
  <c r="Q504" i="3"/>
  <c r="L504" i="3"/>
  <c r="K504" i="3"/>
  <c r="I504" i="3"/>
  <c r="P504" i="3"/>
  <c r="N504" i="3"/>
  <c r="H504" i="3"/>
  <c r="F504" i="3"/>
  <c r="D504" i="3"/>
  <c r="B504" i="3"/>
  <c r="S503" i="3"/>
  <c r="J500" i="2" s="1"/>
  <c r="Q503" i="3"/>
  <c r="L503" i="3"/>
  <c r="K503" i="3"/>
  <c r="I503" i="3"/>
  <c r="P503" i="3"/>
  <c r="N503" i="3"/>
  <c r="H503" i="3"/>
  <c r="F503" i="3"/>
  <c r="D503" i="3"/>
  <c r="B503" i="3"/>
  <c r="S502" i="3"/>
  <c r="J499" i="2" s="1"/>
  <c r="Q502" i="3"/>
  <c r="L502" i="3"/>
  <c r="K502" i="3"/>
  <c r="I502" i="3"/>
  <c r="P502" i="3"/>
  <c r="N502" i="3"/>
  <c r="H502" i="3"/>
  <c r="F502" i="3"/>
  <c r="D502" i="3"/>
  <c r="B502" i="3"/>
  <c r="S501" i="3"/>
  <c r="J498" i="2" s="1"/>
  <c r="Q501" i="3"/>
  <c r="L501" i="3"/>
  <c r="K501" i="3"/>
  <c r="I501" i="3"/>
  <c r="P501" i="3"/>
  <c r="N501" i="3"/>
  <c r="H501" i="3"/>
  <c r="F501" i="3"/>
  <c r="D501" i="3"/>
  <c r="B501" i="3"/>
  <c r="S500" i="3"/>
  <c r="J497" i="2" s="1"/>
  <c r="Q500" i="3"/>
  <c r="L500" i="3"/>
  <c r="K500" i="3"/>
  <c r="I500" i="3"/>
  <c r="P500" i="3"/>
  <c r="N500" i="3"/>
  <c r="H500" i="3"/>
  <c r="F500" i="3"/>
  <c r="D500" i="3"/>
  <c r="B500" i="3"/>
  <c r="S499" i="3"/>
  <c r="J496" i="2" s="1"/>
  <c r="Q499" i="3"/>
  <c r="L499" i="3"/>
  <c r="K499" i="3"/>
  <c r="I499" i="3"/>
  <c r="P499" i="3"/>
  <c r="N499" i="3"/>
  <c r="H499" i="3"/>
  <c r="F499" i="3"/>
  <c r="D499" i="3"/>
  <c r="B499" i="3"/>
  <c r="S498" i="3"/>
  <c r="J495" i="2" s="1"/>
  <c r="Q498" i="3"/>
  <c r="L498" i="3"/>
  <c r="K498" i="3"/>
  <c r="I498" i="3"/>
  <c r="P498" i="3"/>
  <c r="N498" i="3"/>
  <c r="H498" i="3"/>
  <c r="F498" i="3"/>
  <c r="D498" i="3"/>
  <c r="B498" i="3"/>
  <c r="S497" i="3"/>
  <c r="J494" i="2" s="1"/>
  <c r="Q497" i="3"/>
  <c r="L497" i="3"/>
  <c r="K497" i="3"/>
  <c r="I497" i="3"/>
  <c r="P497" i="3"/>
  <c r="N497" i="3"/>
  <c r="H497" i="3"/>
  <c r="F497" i="3"/>
  <c r="D497" i="3"/>
  <c r="B497" i="3"/>
  <c r="S496" i="3"/>
  <c r="J493" i="2" s="1"/>
  <c r="Q496" i="3"/>
  <c r="L496" i="3"/>
  <c r="K496" i="3"/>
  <c r="I496" i="3"/>
  <c r="P496" i="3"/>
  <c r="N496" i="3"/>
  <c r="H496" i="3"/>
  <c r="F496" i="3"/>
  <c r="D496" i="3"/>
  <c r="B496" i="3"/>
  <c r="S495" i="3"/>
  <c r="J492" i="2" s="1"/>
  <c r="Q495" i="3"/>
  <c r="L495" i="3"/>
  <c r="K495" i="3"/>
  <c r="I495" i="3"/>
  <c r="P495" i="3"/>
  <c r="N495" i="3"/>
  <c r="H495" i="3"/>
  <c r="F495" i="3"/>
  <c r="D495" i="3"/>
  <c r="B495" i="3"/>
  <c r="S494" i="3"/>
  <c r="J491" i="2" s="1"/>
  <c r="Q494" i="3"/>
  <c r="L494" i="3"/>
  <c r="K494" i="3"/>
  <c r="I494" i="3"/>
  <c r="P494" i="3"/>
  <c r="N494" i="3"/>
  <c r="H494" i="3"/>
  <c r="F494" i="3"/>
  <c r="D494" i="3"/>
  <c r="B494" i="3"/>
  <c r="S493" i="3"/>
  <c r="J490" i="2" s="1"/>
  <c r="Q493" i="3"/>
  <c r="L493" i="3"/>
  <c r="K493" i="3"/>
  <c r="I493" i="3"/>
  <c r="P493" i="3"/>
  <c r="N493" i="3"/>
  <c r="H493" i="3"/>
  <c r="F493" i="3"/>
  <c r="D493" i="3"/>
  <c r="B493" i="3"/>
  <c r="S492" i="3"/>
  <c r="J489" i="2" s="1"/>
  <c r="Q492" i="3"/>
  <c r="L492" i="3"/>
  <c r="K492" i="3"/>
  <c r="I492" i="3"/>
  <c r="P492" i="3"/>
  <c r="N492" i="3"/>
  <c r="H492" i="3"/>
  <c r="F492" i="3"/>
  <c r="D492" i="3"/>
  <c r="B492" i="3"/>
  <c r="S491" i="3"/>
  <c r="J488" i="2" s="1"/>
  <c r="Q491" i="3"/>
  <c r="L491" i="3"/>
  <c r="K491" i="3"/>
  <c r="I491" i="3"/>
  <c r="P491" i="3"/>
  <c r="N491" i="3"/>
  <c r="H491" i="3"/>
  <c r="F491" i="3"/>
  <c r="D491" i="3"/>
  <c r="B491" i="3"/>
  <c r="S490" i="3"/>
  <c r="J487" i="2" s="1"/>
  <c r="Q490" i="3"/>
  <c r="L490" i="3"/>
  <c r="K490" i="3"/>
  <c r="I490" i="3"/>
  <c r="P490" i="3"/>
  <c r="N490" i="3"/>
  <c r="H490" i="3"/>
  <c r="F490" i="3"/>
  <c r="D490" i="3"/>
  <c r="B490" i="3"/>
  <c r="S489" i="3"/>
  <c r="J486" i="2" s="1"/>
  <c r="Q489" i="3"/>
  <c r="L489" i="3"/>
  <c r="K489" i="3"/>
  <c r="I489" i="3"/>
  <c r="P489" i="3"/>
  <c r="N489" i="3"/>
  <c r="H489" i="3"/>
  <c r="F489" i="3"/>
  <c r="D489" i="3"/>
  <c r="B489" i="3"/>
  <c r="S488" i="3"/>
  <c r="J485" i="2" s="1"/>
  <c r="Q488" i="3"/>
  <c r="L488" i="3"/>
  <c r="K488" i="3"/>
  <c r="I488" i="3"/>
  <c r="P488" i="3"/>
  <c r="N488" i="3"/>
  <c r="H488" i="3"/>
  <c r="F488" i="3"/>
  <c r="D488" i="3"/>
  <c r="B488" i="3"/>
  <c r="S487" i="3"/>
  <c r="J484" i="2" s="1"/>
  <c r="Q487" i="3"/>
  <c r="L487" i="3"/>
  <c r="K487" i="3"/>
  <c r="I487" i="3"/>
  <c r="P487" i="3"/>
  <c r="N487" i="3"/>
  <c r="H487" i="3"/>
  <c r="F487" i="3"/>
  <c r="D487" i="3"/>
  <c r="B487" i="3"/>
  <c r="S486" i="3"/>
  <c r="J483" i="2" s="1"/>
  <c r="Q486" i="3"/>
  <c r="L486" i="3"/>
  <c r="K486" i="3"/>
  <c r="I486" i="3"/>
  <c r="P486" i="3"/>
  <c r="N486" i="3"/>
  <c r="H486" i="3"/>
  <c r="F486" i="3"/>
  <c r="D486" i="3"/>
  <c r="B486" i="3"/>
  <c r="S485" i="3"/>
  <c r="J482" i="2" s="1"/>
  <c r="Q485" i="3"/>
  <c r="L485" i="3"/>
  <c r="K485" i="3"/>
  <c r="I485" i="3"/>
  <c r="P485" i="3"/>
  <c r="N485" i="3"/>
  <c r="H485" i="3"/>
  <c r="F485" i="3"/>
  <c r="D485" i="3"/>
  <c r="B485" i="3"/>
  <c r="S484" i="3"/>
  <c r="J481" i="2" s="1"/>
  <c r="Q484" i="3"/>
  <c r="L484" i="3"/>
  <c r="K484" i="3"/>
  <c r="I484" i="3"/>
  <c r="P484" i="3"/>
  <c r="N484" i="3"/>
  <c r="H484" i="3"/>
  <c r="F484" i="3"/>
  <c r="D484" i="3"/>
  <c r="B484" i="3"/>
  <c r="S483" i="3"/>
  <c r="J480" i="2" s="1"/>
  <c r="Q483" i="3"/>
  <c r="L483" i="3"/>
  <c r="K483" i="3"/>
  <c r="I483" i="3"/>
  <c r="P483" i="3"/>
  <c r="N483" i="3"/>
  <c r="H483" i="3"/>
  <c r="F483" i="3"/>
  <c r="D483" i="3"/>
  <c r="B483" i="3"/>
  <c r="S482" i="3"/>
  <c r="J479" i="2" s="1"/>
  <c r="Q482" i="3"/>
  <c r="L482" i="3"/>
  <c r="K482" i="3"/>
  <c r="I482" i="3"/>
  <c r="P482" i="3"/>
  <c r="N482" i="3"/>
  <c r="H482" i="3"/>
  <c r="F482" i="3"/>
  <c r="D482" i="3"/>
  <c r="B482" i="3"/>
  <c r="S481" i="3"/>
  <c r="J478" i="2" s="1"/>
  <c r="Q481" i="3"/>
  <c r="L481" i="3"/>
  <c r="K481" i="3"/>
  <c r="I481" i="3"/>
  <c r="P481" i="3"/>
  <c r="N481" i="3"/>
  <c r="H481" i="3"/>
  <c r="F481" i="3"/>
  <c r="D481" i="3"/>
  <c r="B481" i="3"/>
  <c r="S480" i="3"/>
  <c r="J477" i="2" s="1"/>
  <c r="Q480" i="3"/>
  <c r="L480" i="3"/>
  <c r="K480" i="3"/>
  <c r="I480" i="3"/>
  <c r="P480" i="3"/>
  <c r="N480" i="3"/>
  <c r="H480" i="3"/>
  <c r="F480" i="3"/>
  <c r="D480" i="3"/>
  <c r="B480" i="3"/>
  <c r="S479" i="3"/>
  <c r="J476" i="2" s="1"/>
  <c r="Q479" i="3"/>
  <c r="L479" i="3"/>
  <c r="K479" i="3"/>
  <c r="I479" i="3"/>
  <c r="P479" i="3"/>
  <c r="N479" i="3"/>
  <c r="H479" i="3"/>
  <c r="F479" i="3"/>
  <c r="D479" i="3"/>
  <c r="B479" i="3"/>
  <c r="S478" i="3"/>
  <c r="J475" i="2" s="1"/>
  <c r="Q478" i="3"/>
  <c r="L478" i="3"/>
  <c r="K478" i="3"/>
  <c r="I478" i="3"/>
  <c r="P478" i="3"/>
  <c r="N478" i="3"/>
  <c r="H478" i="3"/>
  <c r="F478" i="3"/>
  <c r="D478" i="3"/>
  <c r="B478" i="3"/>
  <c r="S477" i="3"/>
  <c r="J474" i="2" s="1"/>
  <c r="Q477" i="3"/>
  <c r="L477" i="3"/>
  <c r="K477" i="3"/>
  <c r="I477" i="3"/>
  <c r="P477" i="3"/>
  <c r="N477" i="3"/>
  <c r="H477" i="3"/>
  <c r="F477" i="3"/>
  <c r="D477" i="3"/>
  <c r="B477" i="3"/>
  <c r="S476" i="3"/>
  <c r="J473" i="2" s="1"/>
  <c r="Q476" i="3"/>
  <c r="L476" i="3"/>
  <c r="K476" i="3"/>
  <c r="I476" i="3"/>
  <c r="P476" i="3"/>
  <c r="N476" i="3"/>
  <c r="H476" i="3"/>
  <c r="F476" i="3"/>
  <c r="D476" i="3"/>
  <c r="B476" i="3"/>
  <c r="S475" i="3"/>
  <c r="J472" i="2" s="1"/>
  <c r="Q475" i="3"/>
  <c r="L475" i="3"/>
  <c r="K475" i="3"/>
  <c r="I475" i="3"/>
  <c r="P475" i="3"/>
  <c r="N475" i="3"/>
  <c r="H475" i="3"/>
  <c r="F475" i="3"/>
  <c r="D475" i="3"/>
  <c r="B475" i="3"/>
  <c r="S474" i="3"/>
  <c r="J471" i="2" s="1"/>
  <c r="Q474" i="3"/>
  <c r="L474" i="3"/>
  <c r="K474" i="3"/>
  <c r="I474" i="3"/>
  <c r="P474" i="3"/>
  <c r="N474" i="3"/>
  <c r="H474" i="3"/>
  <c r="F474" i="3"/>
  <c r="D474" i="3"/>
  <c r="B474" i="3"/>
  <c r="S473" i="3"/>
  <c r="J470" i="2" s="1"/>
  <c r="Q473" i="3"/>
  <c r="L473" i="3"/>
  <c r="K473" i="3"/>
  <c r="I473" i="3"/>
  <c r="P473" i="3"/>
  <c r="N473" i="3"/>
  <c r="H473" i="3"/>
  <c r="F473" i="3"/>
  <c r="D473" i="3"/>
  <c r="B473" i="3"/>
  <c r="S472" i="3"/>
  <c r="J469" i="2" s="1"/>
  <c r="Q472" i="3"/>
  <c r="L472" i="3"/>
  <c r="K472" i="3"/>
  <c r="I472" i="3"/>
  <c r="P472" i="3"/>
  <c r="N472" i="3"/>
  <c r="H472" i="3"/>
  <c r="F472" i="3"/>
  <c r="D472" i="3"/>
  <c r="B472" i="3"/>
  <c r="S471" i="3"/>
  <c r="J468" i="2" s="1"/>
  <c r="Q471" i="3"/>
  <c r="L471" i="3"/>
  <c r="K471" i="3"/>
  <c r="I471" i="3"/>
  <c r="P471" i="3"/>
  <c r="N471" i="3"/>
  <c r="H471" i="3"/>
  <c r="F471" i="3"/>
  <c r="D471" i="3"/>
  <c r="B471" i="3"/>
  <c r="S470" i="3"/>
  <c r="J467" i="2" s="1"/>
  <c r="Q470" i="3"/>
  <c r="L470" i="3"/>
  <c r="K470" i="3"/>
  <c r="I470" i="3"/>
  <c r="P470" i="3"/>
  <c r="N470" i="3"/>
  <c r="H470" i="3"/>
  <c r="F470" i="3"/>
  <c r="D470" i="3"/>
  <c r="B470" i="3"/>
  <c r="S469" i="3"/>
  <c r="J466" i="2" s="1"/>
  <c r="Q469" i="3"/>
  <c r="L469" i="3"/>
  <c r="K469" i="3"/>
  <c r="I469" i="3"/>
  <c r="P469" i="3"/>
  <c r="N469" i="3"/>
  <c r="H469" i="3"/>
  <c r="F469" i="3"/>
  <c r="D469" i="3"/>
  <c r="B469" i="3"/>
  <c r="S468" i="3"/>
  <c r="J465" i="2" s="1"/>
  <c r="Q468" i="3"/>
  <c r="L468" i="3"/>
  <c r="K468" i="3"/>
  <c r="I468" i="3"/>
  <c r="P468" i="3"/>
  <c r="N468" i="3"/>
  <c r="H468" i="3"/>
  <c r="F468" i="3"/>
  <c r="D468" i="3"/>
  <c r="B468" i="3"/>
  <c r="S467" i="3"/>
  <c r="J464" i="2" s="1"/>
  <c r="Q467" i="3"/>
  <c r="L467" i="3"/>
  <c r="K467" i="3"/>
  <c r="I467" i="3"/>
  <c r="P467" i="3"/>
  <c r="N467" i="3"/>
  <c r="H467" i="3"/>
  <c r="F467" i="3"/>
  <c r="D467" i="3"/>
  <c r="B467" i="3"/>
  <c r="S466" i="3"/>
  <c r="J463" i="2" s="1"/>
  <c r="Q466" i="3"/>
  <c r="L466" i="3"/>
  <c r="K466" i="3"/>
  <c r="I466" i="3"/>
  <c r="P466" i="3"/>
  <c r="N466" i="3"/>
  <c r="H466" i="3"/>
  <c r="F466" i="3"/>
  <c r="D466" i="3"/>
  <c r="B466" i="3"/>
  <c r="S465" i="3"/>
  <c r="J462" i="2" s="1"/>
  <c r="Q465" i="3"/>
  <c r="L465" i="3"/>
  <c r="K465" i="3"/>
  <c r="I465" i="3"/>
  <c r="P465" i="3"/>
  <c r="N465" i="3"/>
  <c r="H465" i="3"/>
  <c r="F465" i="3"/>
  <c r="D465" i="3"/>
  <c r="B465" i="3"/>
  <c r="S464" i="3"/>
  <c r="J461" i="2" s="1"/>
  <c r="Q464" i="3"/>
  <c r="L464" i="3"/>
  <c r="K464" i="3"/>
  <c r="I464" i="3"/>
  <c r="P464" i="3"/>
  <c r="N464" i="3"/>
  <c r="H464" i="3"/>
  <c r="F464" i="3"/>
  <c r="D464" i="3"/>
  <c r="B464" i="3"/>
  <c r="S463" i="3"/>
  <c r="J460" i="2" s="1"/>
  <c r="Q463" i="3"/>
  <c r="L463" i="3"/>
  <c r="K463" i="3"/>
  <c r="I463" i="3"/>
  <c r="P463" i="3"/>
  <c r="N463" i="3"/>
  <c r="H463" i="3"/>
  <c r="F463" i="3"/>
  <c r="D463" i="3"/>
  <c r="B463" i="3"/>
  <c r="S462" i="3"/>
  <c r="J459" i="2" s="1"/>
  <c r="Q462" i="3"/>
  <c r="L462" i="3"/>
  <c r="K462" i="3"/>
  <c r="I462" i="3"/>
  <c r="P462" i="3"/>
  <c r="N462" i="3"/>
  <c r="H462" i="3"/>
  <c r="F462" i="3"/>
  <c r="D462" i="3"/>
  <c r="B462" i="3"/>
  <c r="S461" i="3"/>
  <c r="J458" i="2" s="1"/>
  <c r="Q461" i="3"/>
  <c r="L461" i="3"/>
  <c r="K461" i="3"/>
  <c r="I461" i="3"/>
  <c r="P461" i="3"/>
  <c r="N461" i="3"/>
  <c r="H461" i="3"/>
  <c r="F461" i="3"/>
  <c r="D461" i="3"/>
  <c r="B461" i="3"/>
  <c r="S460" i="3"/>
  <c r="J457" i="2" s="1"/>
  <c r="Q460" i="3"/>
  <c r="L460" i="3"/>
  <c r="K460" i="3"/>
  <c r="I460" i="3"/>
  <c r="P460" i="3"/>
  <c r="N460" i="3"/>
  <c r="H460" i="3"/>
  <c r="F460" i="3"/>
  <c r="D460" i="3"/>
  <c r="B460" i="3"/>
  <c r="S459" i="3"/>
  <c r="J456" i="2" s="1"/>
  <c r="Q459" i="3"/>
  <c r="L459" i="3"/>
  <c r="K459" i="3"/>
  <c r="I459" i="3"/>
  <c r="P459" i="3"/>
  <c r="N459" i="3"/>
  <c r="H459" i="3"/>
  <c r="F459" i="3"/>
  <c r="D459" i="3"/>
  <c r="B459" i="3"/>
  <c r="S458" i="3"/>
  <c r="J455" i="2" s="1"/>
  <c r="Q458" i="3"/>
  <c r="L458" i="3"/>
  <c r="K458" i="3"/>
  <c r="I458" i="3"/>
  <c r="P458" i="3"/>
  <c r="N458" i="3"/>
  <c r="H458" i="3"/>
  <c r="F458" i="3"/>
  <c r="D458" i="3"/>
  <c r="B458" i="3"/>
  <c r="S457" i="3"/>
  <c r="J454" i="2" s="1"/>
  <c r="Q457" i="3"/>
  <c r="L457" i="3"/>
  <c r="K457" i="3"/>
  <c r="I457" i="3"/>
  <c r="P457" i="3"/>
  <c r="N457" i="3"/>
  <c r="H457" i="3"/>
  <c r="F457" i="3"/>
  <c r="D457" i="3"/>
  <c r="B457" i="3"/>
  <c r="S456" i="3"/>
  <c r="J453" i="2" s="1"/>
  <c r="Q456" i="3"/>
  <c r="L456" i="3"/>
  <c r="K456" i="3"/>
  <c r="I456" i="3"/>
  <c r="P456" i="3"/>
  <c r="N456" i="3"/>
  <c r="H456" i="3"/>
  <c r="F456" i="3"/>
  <c r="D456" i="3"/>
  <c r="B456" i="3"/>
  <c r="S455" i="3"/>
  <c r="J452" i="2" s="1"/>
  <c r="Q455" i="3"/>
  <c r="L455" i="3"/>
  <c r="K455" i="3"/>
  <c r="I455" i="3"/>
  <c r="P455" i="3"/>
  <c r="N455" i="3"/>
  <c r="H455" i="3"/>
  <c r="F455" i="3"/>
  <c r="D455" i="3"/>
  <c r="B455" i="3"/>
  <c r="S454" i="3"/>
  <c r="J451" i="2" s="1"/>
  <c r="Q454" i="3"/>
  <c r="L454" i="3"/>
  <c r="K454" i="3"/>
  <c r="I454" i="3"/>
  <c r="P454" i="3"/>
  <c r="N454" i="3"/>
  <c r="H454" i="3"/>
  <c r="F454" i="3"/>
  <c r="D454" i="3"/>
  <c r="B454" i="3"/>
  <c r="S453" i="3"/>
  <c r="J450" i="2" s="1"/>
  <c r="Q453" i="3"/>
  <c r="L453" i="3"/>
  <c r="K453" i="3"/>
  <c r="I453" i="3"/>
  <c r="P453" i="3"/>
  <c r="N453" i="3"/>
  <c r="H453" i="3"/>
  <c r="F453" i="3"/>
  <c r="D453" i="3"/>
  <c r="B453" i="3"/>
  <c r="S452" i="3"/>
  <c r="J449" i="2" s="1"/>
  <c r="Q452" i="3"/>
  <c r="L452" i="3"/>
  <c r="K452" i="3"/>
  <c r="I452" i="3"/>
  <c r="P452" i="3"/>
  <c r="N452" i="3"/>
  <c r="H452" i="3"/>
  <c r="F452" i="3"/>
  <c r="D452" i="3"/>
  <c r="B452" i="3"/>
  <c r="S451" i="3"/>
  <c r="J448" i="2" s="1"/>
  <c r="Q451" i="3"/>
  <c r="L451" i="3"/>
  <c r="K451" i="3"/>
  <c r="I451" i="3"/>
  <c r="P451" i="3"/>
  <c r="N451" i="3"/>
  <c r="H451" i="3"/>
  <c r="F451" i="3"/>
  <c r="D451" i="3"/>
  <c r="B451" i="3"/>
  <c r="S450" i="3"/>
  <c r="J447" i="2" s="1"/>
  <c r="Q450" i="3"/>
  <c r="L450" i="3"/>
  <c r="K450" i="3"/>
  <c r="I450" i="3"/>
  <c r="P450" i="3"/>
  <c r="N450" i="3"/>
  <c r="H450" i="3"/>
  <c r="F450" i="3"/>
  <c r="D450" i="3"/>
  <c r="B450" i="3"/>
  <c r="S449" i="3"/>
  <c r="J446" i="2" s="1"/>
  <c r="Q449" i="3"/>
  <c r="L449" i="3"/>
  <c r="K449" i="3"/>
  <c r="I449" i="3"/>
  <c r="P449" i="3"/>
  <c r="N449" i="3"/>
  <c r="H449" i="3"/>
  <c r="F449" i="3"/>
  <c r="D449" i="3"/>
  <c r="B449" i="3"/>
  <c r="S448" i="3"/>
  <c r="J445" i="2" s="1"/>
  <c r="Q448" i="3"/>
  <c r="L448" i="3"/>
  <c r="K448" i="3"/>
  <c r="I448" i="3"/>
  <c r="P448" i="3"/>
  <c r="N448" i="3"/>
  <c r="H448" i="3"/>
  <c r="F448" i="3"/>
  <c r="D448" i="3"/>
  <c r="B448" i="3"/>
  <c r="S447" i="3"/>
  <c r="J444" i="2" s="1"/>
  <c r="Q447" i="3"/>
  <c r="L447" i="3"/>
  <c r="K447" i="3"/>
  <c r="I447" i="3"/>
  <c r="P447" i="3"/>
  <c r="N447" i="3"/>
  <c r="H447" i="3"/>
  <c r="F447" i="3"/>
  <c r="D447" i="3"/>
  <c r="B447" i="3"/>
  <c r="S446" i="3"/>
  <c r="J443" i="2" s="1"/>
  <c r="Q446" i="3"/>
  <c r="L446" i="3"/>
  <c r="K446" i="3"/>
  <c r="I446" i="3"/>
  <c r="P446" i="3"/>
  <c r="N446" i="3"/>
  <c r="H446" i="3"/>
  <c r="F446" i="3"/>
  <c r="D446" i="3"/>
  <c r="B446" i="3"/>
  <c r="S445" i="3"/>
  <c r="J442" i="2" s="1"/>
  <c r="Q445" i="3"/>
  <c r="L445" i="3"/>
  <c r="K445" i="3"/>
  <c r="I445" i="3"/>
  <c r="P445" i="3"/>
  <c r="N445" i="3"/>
  <c r="H445" i="3"/>
  <c r="F445" i="3"/>
  <c r="D445" i="3"/>
  <c r="B445" i="3"/>
  <c r="S444" i="3"/>
  <c r="J441" i="2" s="1"/>
  <c r="Q444" i="3"/>
  <c r="L444" i="3"/>
  <c r="K444" i="3"/>
  <c r="I444" i="3"/>
  <c r="P444" i="3"/>
  <c r="N444" i="3"/>
  <c r="H444" i="3"/>
  <c r="F444" i="3"/>
  <c r="D444" i="3"/>
  <c r="B444" i="3"/>
  <c r="S443" i="3"/>
  <c r="J440" i="2" s="1"/>
  <c r="Q443" i="3"/>
  <c r="L443" i="3"/>
  <c r="K443" i="3"/>
  <c r="I443" i="3"/>
  <c r="P443" i="3"/>
  <c r="N443" i="3"/>
  <c r="H443" i="3"/>
  <c r="F443" i="3"/>
  <c r="D443" i="3"/>
  <c r="B443" i="3"/>
  <c r="S442" i="3"/>
  <c r="J439" i="2" s="1"/>
  <c r="Q442" i="3"/>
  <c r="L442" i="3"/>
  <c r="K442" i="3"/>
  <c r="I442" i="3"/>
  <c r="P442" i="3"/>
  <c r="N442" i="3"/>
  <c r="H442" i="3"/>
  <c r="F442" i="3"/>
  <c r="D442" i="3"/>
  <c r="B442" i="3"/>
  <c r="S441" i="3"/>
  <c r="J438" i="2" s="1"/>
  <c r="Q441" i="3"/>
  <c r="L441" i="3"/>
  <c r="K441" i="3"/>
  <c r="I441" i="3"/>
  <c r="P441" i="3"/>
  <c r="N441" i="3"/>
  <c r="H441" i="3"/>
  <c r="F441" i="3"/>
  <c r="D441" i="3"/>
  <c r="B441" i="3"/>
  <c r="S440" i="3"/>
  <c r="J437" i="2" s="1"/>
  <c r="Q440" i="3"/>
  <c r="L440" i="3"/>
  <c r="K440" i="3"/>
  <c r="I440" i="3"/>
  <c r="P440" i="3"/>
  <c r="N440" i="3"/>
  <c r="H440" i="3"/>
  <c r="F440" i="3"/>
  <c r="D440" i="3"/>
  <c r="B440" i="3"/>
  <c r="S439" i="3"/>
  <c r="J436" i="2" s="1"/>
  <c r="Q439" i="3"/>
  <c r="L439" i="3"/>
  <c r="K439" i="3"/>
  <c r="I439" i="3"/>
  <c r="P439" i="3"/>
  <c r="N439" i="3"/>
  <c r="H439" i="3"/>
  <c r="F439" i="3"/>
  <c r="D439" i="3"/>
  <c r="B439" i="3"/>
  <c r="S438" i="3"/>
  <c r="J435" i="2" s="1"/>
  <c r="Q438" i="3"/>
  <c r="L438" i="3"/>
  <c r="K438" i="3"/>
  <c r="I438" i="3"/>
  <c r="P438" i="3"/>
  <c r="N438" i="3"/>
  <c r="H438" i="3"/>
  <c r="F438" i="3"/>
  <c r="D438" i="3"/>
  <c r="B438" i="3"/>
  <c r="S437" i="3"/>
  <c r="J434" i="2" s="1"/>
  <c r="Q437" i="3"/>
  <c r="L437" i="3"/>
  <c r="K437" i="3"/>
  <c r="I437" i="3"/>
  <c r="P437" i="3"/>
  <c r="N437" i="3"/>
  <c r="H437" i="3"/>
  <c r="F437" i="3"/>
  <c r="D437" i="3"/>
  <c r="B437" i="3"/>
  <c r="S436" i="3"/>
  <c r="J433" i="2" s="1"/>
  <c r="Q436" i="3"/>
  <c r="L436" i="3"/>
  <c r="K436" i="3"/>
  <c r="I436" i="3"/>
  <c r="P436" i="3"/>
  <c r="N436" i="3"/>
  <c r="H436" i="3"/>
  <c r="F436" i="3"/>
  <c r="D436" i="3"/>
  <c r="B436" i="3"/>
  <c r="S435" i="3"/>
  <c r="J432" i="2" s="1"/>
  <c r="Q435" i="3"/>
  <c r="L435" i="3"/>
  <c r="K435" i="3"/>
  <c r="I435" i="3"/>
  <c r="P435" i="3"/>
  <c r="N435" i="3"/>
  <c r="H435" i="3"/>
  <c r="F435" i="3"/>
  <c r="D435" i="3"/>
  <c r="B435" i="3"/>
  <c r="S434" i="3"/>
  <c r="J431" i="2" s="1"/>
  <c r="Q434" i="3"/>
  <c r="L434" i="3"/>
  <c r="K434" i="3"/>
  <c r="I434" i="3"/>
  <c r="P434" i="3"/>
  <c r="N434" i="3"/>
  <c r="H434" i="3"/>
  <c r="F434" i="3"/>
  <c r="D434" i="3"/>
  <c r="B434" i="3"/>
  <c r="S433" i="3"/>
  <c r="J430" i="2" s="1"/>
  <c r="Q433" i="3"/>
  <c r="L433" i="3"/>
  <c r="K433" i="3"/>
  <c r="I433" i="3"/>
  <c r="P433" i="3"/>
  <c r="N433" i="3"/>
  <c r="H433" i="3"/>
  <c r="F433" i="3"/>
  <c r="D433" i="3"/>
  <c r="B433" i="3"/>
  <c r="S432" i="3"/>
  <c r="J429" i="2" s="1"/>
  <c r="Q432" i="3"/>
  <c r="L432" i="3"/>
  <c r="K432" i="3"/>
  <c r="I432" i="3"/>
  <c r="P432" i="3"/>
  <c r="N432" i="3"/>
  <c r="H432" i="3"/>
  <c r="F432" i="3"/>
  <c r="D432" i="3"/>
  <c r="B432" i="3"/>
  <c r="S431" i="3"/>
  <c r="J428" i="2" s="1"/>
  <c r="Q431" i="3"/>
  <c r="L431" i="3"/>
  <c r="K431" i="3"/>
  <c r="I431" i="3"/>
  <c r="P431" i="3"/>
  <c r="N431" i="3"/>
  <c r="H431" i="3"/>
  <c r="F431" i="3"/>
  <c r="D431" i="3"/>
  <c r="B431" i="3"/>
  <c r="S430" i="3"/>
  <c r="J427" i="2" s="1"/>
  <c r="Q430" i="3"/>
  <c r="L430" i="3"/>
  <c r="K430" i="3"/>
  <c r="I430" i="3"/>
  <c r="P430" i="3"/>
  <c r="N430" i="3"/>
  <c r="H430" i="3"/>
  <c r="F430" i="3"/>
  <c r="D430" i="3"/>
  <c r="B430" i="3"/>
  <c r="S429" i="3"/>
  <c r="J426" i="2" s="1"/>
  <c r="Q429" i="3"/>
  <c r="L429" i="3"/>
  <c r="K429" i="3"/>
  <c r="I429" i="3"/>
  <c r="P429" i="3"/>
  <c r="N429" i="3"/>
  <c r="H429" i="3"/>
  <c r="F429" i="3"/>
  <c r="D429" i="3"/>
  <c r="B429" i="3"/>
  <c r="S428" i="3"/>
  <c r="J425" i="2" s="1"/>
  <c r="Q428" i="3"/>
  <c r="L428" i="3"/>
  <c r="K428" i="3"/>
  <c r="I428" i="3"/>
  <c r="P428" i="3"/>
  <c r="N428" i="3"/>
  <c r="H428" i="3"/>
  <c r="F428" i="3"/>
  <c r="D428" i="3"/>
  <c r="B428" i="3"/>
  <c r="S427" i="3"/>
  <c r="J424" i="2" s="1"/>
  <c r="Q427" i="3"/>
  <c r="L427" i="3"/>
  <c r="K427" i="3"/>
  <c r="I427" i="3"/>
  <c r="P427" i="3"/>
  <c r="N427" i="3"/>
  <c r="H427" i="3"/>
  <c r="F427" i="3"/>
  <c r="D427" i="3"/>
  <c r="B427" i="3"/>
  <c r="S426" i="3"/>
  <c r="J423" i="2" s="1"/>
  <c r="Q426" i="3"/>
  <c r="L426" i="3"/>
  <c r="K426" i="3"/>
  <c r="I426" i="3"/>
  <c r="P426" i="3"/>
  <c r="N426" i="3"/>
  <c r="H426" i="3"/>
  <c r="F426" i="3"/>
  <c r="D426" i="3"/>
  <c r="B426" i="3"/>
  <c r="S425" i="3"/>
  <c r="J422" i="2" s="1"/>
  <c r="Q425" i="3"/>
  <c r="L425" i="3"/>
  <c r="K425" i="3"/>
  <c r="I425" i="3"/>
  <c r="P425" i="3"/>
  <c r="N425" i="3"/>
  <c r="H425" i="3"/>
  <c r="F425" i="3"/>
  <c r="D425" i="3"/>
  <c r="B425" i="3"/>
  <c r="S424" i="3"/>
  <c r="J421" i="2" s="1"/>
  <c r="Q424" i="3"/>
  <c r="L424" i="3"/>
  <c r="K424" i="3"/>
  <c r="I424" i="3"/>
  <c r="P424" i="3"/>
  <c r="N424" i="3"/>
  <c r="H424" i="3"/>
  <c r="F424" i="3"/>
  <c r="D424" i="3"/>
  <c r="B424" i="3"/>
  <c r="S423" i="3"/>
  <c r="J420" i="2" s="1"/>
  <c r="Q423" i="3"/>
  <c r="L423" i="3"/>
  <c r="K423" i="3"/>
  <c r="I423" i="3"/>
  <c r="P423" i="3"/>
  <c r="N423" i="3"/>
  <c r="H423" i="3"/>
  <c r="F423" i="3"/>
  <c r="D423" i="3"/>
  <c r="B423" i="3"/>
  <c r="S422" i="3"/>
  <c r="J419" i="2" s="1"/>
  <c r="Q422" i="3"/>
  <c r="L422" i="3"/>
  <c r="K422" i="3"/>
  <c r="I422" i="3"/>
  <c r="P422" i="3"/>
  <c r="N422" i="3"/>
  <c r="H422" i="3"/>
  <c r="F422" i="3"/>
  <c r="D422" i="3"/>
  <c r="B422" i="3"/>
  <c r="S421" i="3"/>
  <c r="J418" i="2" s="1"/>
  <c r="Q421" i="3"/>
  <c r="L421" i="3"/>
  <c r="K421" i="3"/>
  <c r="I421" i="3"/>
  <c r="P421" i="3"/>
  <c r="N421" i="3"/>
  <c r="H421" i="3"/>
  <c r="F421" i="3"/>
  <c r="D421" i="3"/>
  <c r="B421" i="3"/>
  <c r="S420" i="3"/>
  <c r="J417" i="2" s="1"/>
  <c r="Q420" i="3"/>
  <c r="L420" i="3"/>
  <c r="K420" i="3"/>
  <c r="I420" i="3"/>
  <c r="P420" i="3"/>
  <c r="N420" i="3"/>
  <c r="H420" i="3"/>
  <c r="F420" i="3"/>
  <c r="D420" i="3"/>
  <c r="B420" i="3"/>
  <c r="S419" i="3"/>
  <c r="J416" i="2" s="1"/>
  <c r="Q419" i="3"/>
  <c r="L419" i="3"/>
  <c r="K419" i="3"/>
  <c r="I419" i="3"/>
  <c r="P419" i="3"/>
  <c r="N419" i="3"/>
  <c r="H419" i="3"/>
  <c r="F419" i="3"/>
  <c r="D419" i="3"/>
  <c r="B419" i="3"/>
  <c r="S418" i="3"/>
  <c r="J415" i="2" s="1"/>
  <c r="Q418" i="3"/>
  <c r="L418" i="3"/>
  <c r="K418" i="3"/>
  <c r="I418" i="3"/>
  <c r="P418" i="3"/>
  <c r="N418" i="3"/>
  <c r="H418" i="3"/>
  <c r="F418" i="3"/>
  <c r="D418" i="3"/>
  <c r="B418" i="3"/>
  <c r="S417" i="3"/>
  <c r="J414" i="2" s="1"/>
  <c r="Q417" i="3"/>
  <c r="L417" i="3"/>
  <c r="K417" i="3"/>
  <c r="I417" i="3"/>
  <c r="P417" i="3"/>
  <c r="N417" i="3"/>
  <c r="H417" i="3"/>
  <c r="F417" i="3"/>
  <c r="D417" i="3"/>
  <c r="B417" i="3"/>
  <c r="S416" i="3"/>
  <c r="J413" i="2" s="1"/>
  <c r="Q416" i="3"/>
  <c r="L416" i="3"/>
  <c r="K416" i="3"/>
  <c r="I416" i="3"/>
  <c r="P416" i="3"/>
  <c r="N416" i="3"/>
  <c r="H416" i="3"/>
  <c r="F416" i="3"/>
  <c r="D416" i="3"/>
  <c r="B416" i="3"/>
  <c r="S415" i="3"/>
  <c r="J412" i="2" s="1"/>
  <c r="Q415" i="3"/>
  <c r="L415" i="3"/>
  <c r="K415" i="3"/>
  <c r="I415" i="3"/>
  <c r="P415" i="3"/>
  <c r="N415" i="3"/>
  <c r="H415" i="3"/>
  <c r="F415" i="3"/>
  <c r="D415" i="3"/>
  <c r="B415" i="3"/>
  <c r="S414" i="3"/>
  <c r="J411" i="2" s="1"/>
  <c r="Q414" i="3"/>
  <c r="L414" i="3"/>
  <c r="K414" i="3"/>
  <c r="I414" i="3"/>
  <c r="P414" i="3"/>
  <c r="N414" i="3"/>
  <c r="H414" i="3"/>
  <c r="F414" i="3"/>
  <c r="D414" i="3"/>
  <c r="B414" i="3"/>
  <c r="S413" i="3"/>
  <c r="J410" i="2" s="1"/>
  <c r="Q413" i="3"/>
  <c r="L413" i="3"/>
  <c r="K413" i="3"/>
  <c r="I413" i="3"/>
  <c r="P413" i="3"/>
  <c r="N413" i="3"/>
  <c r="H413" i="3"/>
  <c r="F413" i="3"/>
  <c r="D413" i="3"/>
  <c r="B413" i="3"/>
  <c r="S412" i="3"/>
  <c r="J409" i="2" s="1"/>
  <c r="Q412" i="3"/>
  <c r="L412" i="3"/>
  <c r="K412" i="3"/>
  <c r="I412" i="3"/>
  <c r="P412" i="3"/>
  <c r="N412" i="3"/>
  <c r="H412" i="3"/>
  <c r="F412" i="3"/>
  <c r="D412" i="3"/>
  <c r="B412" i="3"/>
  <c r="S411" i="3"/>
  <c r="J408" i="2" s="1"/>
  <c r="Q411" i="3"/>
  <c r="L411" i="3"/>
  <c r="K411" i="3"/>
  <c r="I411" i="3"/>
  <c r="P411" i="3"/>
  <c r="N411" i="3"/>
  <c r="H411" i="3"/>
  <c r="F411" i="3"/>
  <c r="D411" i="3"/>
  <c r="B411" i="3"/>
  <c r="S410" i="3"/>
  <c r="J407" i="2" s="1"/>
  <c r="Q410" i="3"/>
  <c r="L410" i="3"/>
  <c r="K410" i="3"/>
  <c r="I410" i="3"/>
  <c r="P410" i="3"/>
  <c r="N410" i="3"/>
  <c r="H410" i="3"/>
  <c r="F410" i="3"/>
  <c r="D410" i="3"/>
  <c r="B410" i="3"/>
  <c r="S409" i="3"/>
  <c r="J406" i="2" s="1"/>
  <c r="Q409" i="3"/>
  <c r="L409" i="3"/>
  <c r="K409" i="3"/>
  <c r="I409" i="3"/>
  <c r="P409" i="3"/>
  <c r="N409" i="3"/>
  <c r="H409" i="3"/>
  <c r="F409" i="3"/>
  <c r="D409" i="3"/>
  <c r="B409" i="3"/>
  <c r="S408" i="3"/>
  <c r="J405" i="2" s="1"/>
  <c r="Q408" i="3"/>
  <c r="L408" i="3"/>
  <c r="K408" i="3"/>
  <c r="I408" i="3"/>
  <c r="P408" i="3"/>
  <c r="N408" i="3"/>
  <c r="H408" i="3"/>
  <c r="F408" i="3"/>
  <c r="D408" i="3"/>
  <c r="B408" i="3"/>
  <c r="S407" i="3"/>
  <c r="J404" i="2" s="1"/>
  <c r="Q407" i="3"/>
  <c r="L407" i="3"/>
  <c r="K407" i="3"/>
  <c r="I407" i="3"/>
  <c r="P407" i="3"/>
  <c r="N407" i="3"/>
  <c r="H407" i="3"/>
  <c r="F407" i="3"/>
  <c r="D407" i="3"/>
  <c r="B407" i="3"/>
  <c r="S406" i="3"/>
  <c r="J403" i="2" s="1"/>
  <c r="Q406" i="3"/>
  <c r="L406" i="3"/>
  <c r="K406" i="3"/>
  <c r="I406" i="3"/>
  <c r="P406" i="3"/>
  <c r="N406" i="3"/>
  <c r="H406" i="3"/>
  <c r="F406" i="3"/>
  <c r="D406" i="3"/>
  <c r="B406" i="3"/>
  <c r="S405" i="3"/>
  <c r="J402" i="2" s="1"/>
  <c r="Q405" i="3"/>
  <c r="L405" i="3"/>
  <c r="K405" i="3"/>
  <c r="I405" i="3"/>
  <c r="P405" i="3"/>
  <c r="N405" i="3"/>
  <c r="H405" i="3"/>
  <c r="F405" i="3"/>
  <c r="D405" i="3"/>
  <c r="B405" i="3"/>
  <c r="S404" i="3"/>
  <c r="J401" i="2" s="1"/>
  <c r="Q404" i="3"/>
  <c r="L404" i="3"/>
  <c r="K404" i="3"/>
  <c r="I404" i="3"/>
  <c r="P404" i="3"/>
  <c r="N404" i="3"/>
  <c r="H404" i="3"/>
  <c r="F404" i="3"/>
  <c r="D404" i="3"/>
  <c r="B404" i="3"/>
  <c r="S403" i="3"/>
  <c r="J400" i="2" s="1"/>
  <c r="Q403" i="3"/>
  <c r="L403" i="3"/>
  <c r="K403" i="3"/>
  <c r="I403" i="3"/>
  <c r="P403" i="3"/>
  <c r="N403" i="3"/>
  <c r="H403" i="3"/>
  <c r="F403" i="3"/>
  <c r="D403" i="3"/>
  <c r="B403" i="3"/>
  <c r="S402" i="3"/>
  <c r="J399" i="2" s="1"/>
  <c r="Q402" i="3"/>
  <c r="L402" i="3"/>
  <c r="K402" i="3"/>
  <c r="I402" i="3"/>
  <c r="P402" i="3"/>
  <c r="N402" i="3"/>
  <c r="H402" i="3"/>
  <c r="F402" i="3"/>
  <c r="D402" i="3"/>
  <c r="B402" i="3"/>
  <c r="S401" i="3"/>
  <c r="J398" i="2" s="1"/>
  <c r="Q401" i="3"/>
  <c r="L401" i="3"/>
  <c r="K401" i="3"/>
  <c r="I401" i="3"/>
  <c r="P401" i="3"/>
  <c r="N401" i="3"/>
  <c r="H401" i="3"/>
  <c r="F401" i="3"/>
  <c r="D401" i="3"/>
  <c r="B401" i="3"/>
  <c r="S400" i="3"/>
  <c r="J397" i="2" s="1"/>
  <c r="Q400" i="3"/>
  <c r="L400" i="3"/>
  <c r="K400" i="3"/>
  <c r="I400" i="3"/>
  <c r="P400" i="3"/>
  <c r="N400" i="3"/>
  <c r="H400" i="3"/>
  <c r="F400" i="3"/>
  <c r="D400" i="3"/>
  <c r="B400" i="3"/>
  <c r="S399" i="3"/>
  <c r="J396" i="2" s="1"/>
  <c r="Q399" i="3"/>
  <c r="L399" i="3"/>
  <c r="K399" i="3"/>
  <c r="I399" i="3"/>
  <c r="P399" i="3"/>
  <c r="N399" i="3"/>
  <c r="H399" i="3"/>
  <c r="F399" i="3"/>
  <c r="D399" i="3"/>
  <c r="B399" i="3"/>
  <c r="S398" i="3"/>
  <c r="J395" i="2" s="1"/>
  <c r="Q398" i="3"/>
  <c r="L398" i="3"/>
  <c r="K398" i="3"/>
  <c r="I398" i="3"/>
  <c r="P398" i="3"/>
  <c r="N398" i="3"/>
  <c r="H398" i="3"/>
  <c r="F398" i="3"/>
  <c r="D398" i="3"/>
  <c r="B398" i="3"/>
  <c r="S397" i="3"/>
  <c r="J394" i="2" s="1"/>
  <c r="Q397" i="3"/>
  <c r="L397" i="3"/>
  <c r="K397" i="3"/>
  <c r="I397" i="3"/>
  <c r="P397" i="3"/>
  <c r="N397" i="3"/>
  <c r="H397" i="3"/>
  <c r="F397" i="3"/>
  <c r="D397" i="3"/>
  <c r="B397" i="3"/>
  <c r="S396" i="3"/>
  <c r="J393" i="2" s="1"/>
  <c r="Q396" i="3"/>
  <c r="L396" i="3"/>
  <c r="K396" i="3"/>
  <c r="I396" i="3"/>
  <c r="P396" i="3"/>
  <c r="N396" i="3"/>
  <c r="H396" i="3"/>
  <c r="F396" i="3"/>
  <c r="D396" i="3"/>
  <c r="B396" i="3"/>
  <c r="S395" i="3"/>
  <c r="J392" i="2" s="1"/>
  <c r="Q395" i="3"/>
  <c r="L395" i="3"/>
  <c r="K395" i="3"/>
  <c r="I395" i="3"/>
  <c r="P395" i="3"/>
  <c r="N395" i="3"/>
  <c r="H395" i="3"/>
  <c r="F395" i="3"/>
  <c r="D395" i="3"/>
  <c r="B395" i="3"/>
  <c r="S394" i="3"/>
  <c r="J391" i="2" s="1"/>
  <c r="Q394" i="3"/>
  <c r="L394" i="3"/>
  <c r="K394" i="3"/>
  <c r="I394" i="3"/>
  <c r="P394" i="3"/>
  <c r="N394" i="3"/>
  <c r="H394" i="3"/>
  <c r="F394" i="3"/>
  <c r="D394" i="3"/>
  <c r="B394" i="3"/>
  <c r="S393" i="3"/>
  <c r="J390" i="2" s="1"/>
  <c r="Q393" i="3"/>
  <c r="L393" i="3"/>
  <c r="K393" i="3"/>
  <c r="I393" i="3"/>
  <c r="P393" i="3"/>
  <c r="N393" i="3"/>
  <c r="H393" i="3"/>
  <c r="F393" i="3"/>
  <c r="D393" i="3"/>
  <c r="B393" i="3"/>
  <c r="S392" i="3"/>
  <c r="J389" i="2" s="1"/>
  <c r="Q392" i="3"/>
  <c r="L392" i="3"/>
  <c r="K392" i="3"/>
  <c r="I392" i="3"/>
  <c r="P392" i="3"/>
  <c r="N392" i="3"/>
  <c r="H392" i="3"/>
  <c r="F392" i="3"/>
  <c r="D392" i="3"/>
  <c r="B392" i="3"/>
  <c r="S391" i="3"/>
  <c r="J388" i="2" s="1"/>
  <c r="Q391" i="3"/>
  <c r="L391" i="3"/>
  <c r="K391" i="3"/>
  <c r="I391" i="3"/>
  <c r="P391" i="3"/>
  <c r="N391" i="3"/>
  <c r="H391" i="3"/>
  <c r="F391" i="3"/>
  <c r="D391" i="3"/>
  <c r="B391" i="3"/>
  <c r="S390" i="3"/>
  <c r="J387" i="2" s="1"/>
  <c r="Q390" i="3"/>
  <c r="L390" i="3"/>
  <c r="K390" i="3"/>
  <c r="I390" i="3"/>
  <c r="P390" i="3"/>
  <c r="N390" i="3"/>
  <c r="H390" i="3"/>
  <c r="F390" i="3"/>
  <c r="D390" i="3"/>
  <c r="B390" i="3"/>
  <c r="S389" i="3"/>
  <c r="J386" i="2" s="1"/>
  <c r="Q389" i="3"/>
  <c r="L389" i="3"/>
  <c r="K389" i="3"/>
  <c r="I389" i="3"/>
  <c r="P389" i="3"/>
  <c r="N389" i="3"/>
  <c r="H389" i="3"/>
  <c r="F389" i="3"/>
  <c r="D389" i="3"/>
  <c r="B389" i="3"/>
  <c r="S388" i="3"/>
  <c r="J385" i="2" s="1"/>
  <c r="Q388" i="3"/>
  <c r="L388" i="3"/>
  <c r="K388" i="3"/>
  <c r="I388" i="3"/>
  <c r="P388" i="3"/>
  <c r="N388" i="3"/>
  <c r="H388" i="3"/>
  <c r="F388" i="3"/>
  <c r="D388" i="3"/>
  <c r="B388" i="3"/>
  <c r="S387" i="3"/>
  <c r="J384" i="2" s="1"/>
  <c r="Q387" i="3"/>
  <c r="L387" i="3"/>
  <c r="K387" i="3"/>
  <c r="I387" i="3"/>
  <c r="P387" i="3"/>
  <c r="N387" i="3"/>
  <c r="H387" i="3"/>
  <c r="F387" i="3"/>
  <c r="D387" i="3"/>
  <c r="B387" i="3"/>
  <c r="S386" i="3"/>
  <c r="J383" i="2" s="1"/>
  <c r="Q386" i="3"/>
  <c r="L386" i="3"/>
  <c r="K386" i="3"/>
  <c r="I386" i="3"/>
  <c r="P386" i="3"/>
  <c r="N386" i="3"/>
  <c r="H386" i="3"/>
  <c r="F386" i="3"/>
  <c r="D386" i="3"/>
  <c r="B386" i="3"/>
  <c r="S385" i="3"/>
  <c r="J382" i="2" s="1"/>
  <c r="Q385" i="3"/>
  <c r="L385" i="3"/>
  <c r="K385" i="3"/>
  <c r="I385" i="3"/>
  <c r="P385" i="3"/>
  <c r="N385" i="3"/>
  <c r="H385" i="3"/>
  <c r="F385" i="3"/>
  <c r="D385" i="3"/>
  <c r="B385" i="3"/>
  <c r="S384" i="3"/>
  <c r="J381" i="2" s="1"/>
  <c r="Q384" i="3"/>
  <c r="L384" i="3"/>
  <c r="K384" i="3"/>
  <c r="I384" i="3"/>
  <c r="P384" i="3"/>
  <c r="N384" i="3"/>
  <c r="H384" i="3"/>
  <c r="F384" i="3"/>
  <c r="D384" i="3"/>
  <c r="B384" i="3"/>
  <c r="S383" i="3"/>
  <c r="J380" i="2" s="1"/>
  <c r="Q383" i="3"/>
  <c r="L383" i="3"/>
  <c r="K383" i="3"/>
  <c r="I383" i="3"/>
  <c r="P383" i="3"/>
  <c r="N383" i="3"/>
  <c r="H383" i="3"/>
  <c r="F383" i="3"/>
  <c r="D383" i="3"/>
  <c r="B383" i="3"/>
  <c r="S382" i="3"/>
  <c r="J379" i="2" s="1"/>
  <c r="Q382" i="3"/>
  <c r="L382" i="3"/>
  <c r="K382" i="3"/>
  <c r="I382" i="3"/>
  <c r="P382" i="3"/>
  <c r="N382" i="3"/>
  <c r="H382" i="3"/>
  <c r="F382" i="3"/>
  <c r="D382" i="3"/>
  <c r="B382" i="3"/>
  <c r="S381" i="3"/>
  <c r="J378" i="2" s="1"/>
  <c r="Q381" i="3"/>
  <c r="L381" i="3"/>
  <c r="K381" i="3"/>
  <c r="I381" i="3"/>
  <c r="P381" i="3"/>
  <c r="N381" i="3"/>
  <c r="H381" i="3"/>
  <c r="F381" i="3"/>
  <c r="D381" i="3"/>
  <c r="B381" i="3"/>
  <c r="S380" i="3"/>
  <c r="J377" i="2" s="1"/>
  <c r="Q380" i="3"/>
  <c r="L380" i="3"/>
  <c r="K380" i="3"/>
  <c r="I380" i="3"/>
  <c r="P380" i="3"/>
  <c r="N380" i="3"/>
  <c r="H380" i="3"/>
  <c r="F380" i="3"/>
  <c r="D380" i="3"/>
  <c r="B380" i="3"/>
  <c r="S379" i="3"/>
  <c r="J376" i="2" s="1"/>
  <c r="Q379" i="3"/>
  <c r="L379" i="3"/>
  <c r="K379" i="3"/>
  <c r="I379" i="3"/>
  <c r="P379" i="3"/>
  <c r="N379" i="3"/>
  <c r="H379" i="3"/>
  <c r="F379" i="3"/>
  <c r="D379" i="3"/>
  <c r="B379" i="3"/>
  <c r="S378" i="3"/>
  <c r="J375" i="2" s="1"/>
  <c r="Q378" i="3"/>
  <c r="L378" i="3"/>
  <c r="K378" i="3"/>
  <c r="I378" i="3"/>
  <c r="P378" i="3"/>
  <c r="N378" i="3"/>
  <c r="H378" i="3"/>
  <c r="F378" i="3"/>
  <c r="D378" i="3"/>
  <c r="B378" i="3"/>
  <c r="S377" i="3"/>
  <c r="J374" i="2" s="1"/>
  <c r="Q377" i="3"/>
  <c r="L377" i="3"/>
  <c r="K377" i="3"/>
  <c r="I377" i="3"/>
  <c r="P377" i="3"/>
  <c r="N377" i="3"/>
  <c r="H377" i="3"/>
  <c r="F377" i="3"/>
  <c r="D377" i="3"/>
  <c r="B377" i="3"/>
  <c r="S376" i="3"/>
  <c r="J373" i="2" s="1"/>
  <c r="Q376" i="3"/>
  <c r="L376" i="3"/>
  <c r="K376" i="3"/>
  <c r="I376" i="3"/>
  <c r="P376" i="3"/>
  <c r="N376" i="3"/>
  <c r="H376" i="3"/>
  <c r="F376" i="3"/>
  <c r="D376" i="3"/>
  <c r="B376" i="3"/>
  <c r="S375" i="3"/>
  <c r="J372" i="2" s="1"/>
  <c r="Q375" i="3"/>
  <c r="L375" i="3"/>
  <c r="K375" i="3"/>
  <c r="I375" i="3"/>
  <c r="P375" i="3"/>
  <c r="N375" i="3"/>
  <c r="H375" i="3"/>
  <c r="F375" i="3"/>
  <c r="D375" i="3"/>
  <c r="B375" i="3"/>
  <c r="S374" i="3"/>
  <c r="J371" i="2" s="1"/>
  <c r="Q374" i="3"/>
  <c r="L374" i="3"/>
  <c r="K374" i="3"/>
  <c r="I374" i="3"/>
  <c r="P374" i="3"/>
  <c r="N374" i="3"/>
  <c r="H374" i="3"/>
  <c r="F374" i="3"/>
  <c r="D374" i="3"/>
  <c r="B374" i="3"/>
  <c r="S373" i="3"/>
  <c r="J370" i="2" s="1"/>
  <c r="Q373" i="3"/>
  <c r="L373" i="3"/>
  <c r="K373" i="3"/>
  <c r="I373" i="3"/>
  <c r="P373" i="3"/>
  <c r="N373" i="3"/>
  <c r="H373" i="3"/>
  <c r="F373" i="3"/>
  <c r="D373" i="3"/>
  <c r="B373" i="3"/>
  <c r="S372" i="3"/>
  <c r="J369" i="2" s="1"/>
  <c r="Q372" i="3"/>
  <c r="L372" i="3"/>
  <c r="K372" i="3"/>
  <c r="I372" i="3"/>
  <c r="P372" i="3"/>
  <c r="N372" i="3"/>
  <c r="H372" i="3"/>
  <c r="F372" i="3"/>
  <c r="D372" i="3"/>
  <c r="B372" i="3"/>
  <c r="S371" i="3"/>
  <c r="J368" i="2" s="1"/>
  <c r="Q371" i="3"/>
  <c r="L371" i="3"/>
  <c r="K371" i="3"/>
  <c r="I371" i="3"/>
  <c r="P371" i="3"/>
  <c r="N371" i="3"/>
  <c r="H371" i="3"/>
  <c r="F371" i="3"/>
  <c r="D371" i="3"/>
  <c r="B371" i="3"/>
  <c r="S370" i="3"/>
  <c r="J367" i="2" s="1"/>
  <c r="Q370" i="3"/>
  <c r="L370" i="3"/>
  <c r="K370" i="3"/>
  <c r="I370" i="3"/>
  <c r="P370" i="3"/>
  <c r="N370" i="3"/>
  <c r="H370" i="3"/>
  <c r="F370" i="3"/>
  <c r="D370" i="3"/>
  <c r="B370" i="3"/>
  <c r="S369" i="3"/>
  <c r="J366" i="2" s="1"/>
  <c r="Q369" i="3"/>
  <c r="L369" i="3"/>
  <c r="K369" i="3"/>
  <c r="I369" i="3"/>
  <c r="P369" i="3"/>
  <c r="N369" i="3"/>
  <c r="H369" i="3"/>
  <c r="F369" i="3"/>
  <c r="D369" i="3"/>
  <c r="B369" i="3"/>
  <c r="S368" i="3"/>
  <c r="J365" i="2" s="1"/>
  <c r="Q368" i="3"/>
  <c r="L368" i="3"/>
  <c r="K368" i="3"/>
  <c r="I368" i="3"/>
  <c r="P368" i="3"/>
  <c r="N368" i="3"/>
  <c r="H368" i="3"/>
  <c r="F368" i="3"/>
  <c r="D368" i="3"/>
  <c r="B368" i="3"/>
  <c r="S367" i="3"/>
  <c r="J364" i="2" s="1"/>
  <c r="Q367" i="3"/>
  <c r="L367" i="3"/>
  <c r="K367" i="3"/>
  <c r="I367" i="3"/>
  <c r="P367" i="3"/>
  <c r="N367" i="3"/>
  <c r="H367" i="3"/>
  <c r="F367" i="3"/>
  <c r="D367" i="3"/>
  <c r="B367" i="3"/>
  <c r="S366" i="3"/>
  <c r="J363" i="2" s="1"/>
  <c r="Q366" i="3"/>
  <c r="L366" i="3"/>
  <c r="K366" i="3"/>
  <c r="I366" i="3"/>
  <c r="P366" i="3"/>
  <c r="N366" i="3"/>
  <c r="H366" i="3"/>
  <c r="F366" i="3"/>
  <c r="D366" i="3"/>
  <c r="B366" i="3"/>
  <c r="S365" i="3"/>
  <c r="J362" i="2" s="1"/>
  <c r="Q365" i="3"/>
  <c r="L365" i="3"/>
  <c r="K365" i="3"/>
  <c r="I365" i="3"/>
  <c r="P365" i="3"/>
  <c r="N365" i="3"/>
  <c r="H365" i="3"/>
  <c r="F365" i="3"/>
  <c r="D365" i="3"/>
  <c r="B365" i="3"/>
  <c r="S364" i="3"/>
  <c r="J361" i="2" s="1"/>
  <c r="Q364" i="3"/>
  <c r="L364" i="3"/>
  <c r="K364" i="3"/>
  <c r="I364" i="3"/>
  <c r="P364" i="3"/>
  <c r="N364" i="3"/>
  <c r="H364" i="3"/>
  <c r="F364" i="3"/>
  <c r="D364" i="3"/>
  <c r="B364" i="3"/>
  <c r="S363" i="3"/>
  <c r="J360" i="2" s="1"/>
  <c r="Q363" i="3"/>
  <c r="L363" i="3"/>
  <c r="K363" i="3"/>
  <c r="I363" i="3"/>
  <c r="P363" i="3"/>
  <c r="N363" i="3"/>
  <c r="H363" i="3"/>
  <c r="F363" i="3"/>
  <c r="D363" i="3"/>
  <c r="B363" i="3"/>
  <c r="S362" i="3"/>
  <c r="J359" i="2" s="1"/>
  <c r="Q362" i="3"/>
  <c r="L362" i="3"/>
  <c r="K362" i="3"/>
  <c r="I362" i="3"/>
  <c r="P362" i="3"/>
  <c r="N362" i="3"/>
  <c r="H362" i="3"/>
  <c r="F362" i="3"/>
  <c r="D362" i="3"/>
  <c r="B362" i="3"/>
  <c r="S361" i="3"/>
  <c r="J358" i="2" s="1"/>
  <c r="Q361" i="3"/>
  <c r="L361" i="3"/>
  <c r="K361" i="3"/>
  <c r="I361" i="3"/>
  <c r="P361" i="3"/>
  <c r="N361" i="3"/>
  <c r="H361" i="3"/>
  <c r="F361" i="3"/>
  <c r="D361" i="3"/>
  <c r="B361" i="3"/>
  <c r="S360" i="3"/>
  <c r="J357" i="2" s="1"/>
  <c r="Q360" i="3"/>
  <c r="L360" i="3"/>
  <c r="K360" i="3"/>
  <c r="I360" i="3"/>
  <c r="P360" i="3"/>
  <c r="N360" i="3"/>
  <c r="H360" i="3"/>
  <c r="F360" i="3"/>
  <c r="D360" i="3"/>
  <c r="B360" i="3"/>
  <c r="S359" i="3"/>
  <c r="J356" i="2" s="1"/>
  <c r="Q359" i="3"/>
  <c r="L359" i="3"/>
  <c r="K359" i="3"/>
  <c r="I359" i="3"/>
  <c r="P359" i="3"/>
  <c r="N359" i="3"/>
  <c r="H359" i="3"/>
  <c r="F359" i="3"/>
  <c r="D359" i="3"/>
  <c r="B359" i="3"/>
  <c r="S358" i="3"/>
  <c r="J355" i="2" s="1"/>
  <c r="Q358" i="3"/>
  <c r="L358" i="3"/>
  <c r="K358" i="3"/>
  <c r="I358" i="3"/>
  <c r="P358" i="3"/>
  <c r="N358" i="3"/>
  <c r="H358" i="3"/>
  <c r="F358" i="3"/>
  <c r="D358" i="3"/>
  <c r="B358" i="3"/>
  <c r="S357" i="3"/>
  <c r="J354" i="2" s="1"/>
  <c r="Q357" i="3"/>
  <c r="L357" i="3"/>
  <c r="K357" i="3"/>
  <c r="I357" i="3"/>
  <c r="P357" i="3"/>
  <c r="N357" i="3"/>
  <c r="H357" i="3"/>
  <c r="F357" i="3"/>
  <c r="D357" i="3"/>
  <c r="B357" i="3"/>
  <c r="S356" i="3"/>
  <c r="J353" i="2" s="1"/>
  <c r="Q356" i="3"/>
  <c r="L356" i="3"/>
  <c r="K356" i="3"/>
  <c r="I356" i="3"/>
  <c r="P356" i="3"/>
  <c r="N356" i="3"/>
  <c r="H356" i="3"/>
  <c r="F356" i="3"/>
  <c r="D356" i="3"/>
  <c r="B356" i="3"/>
  <c r="S355" i="3"/>
  <c r="J352" i="2" s="1"/>
  <c r="Q355" i="3"/>
  <c r="L355" i="3"/>
  <c r="K355" i="3"/>
  <c r="I355" i="3"/>
  <c r="P355" i="3"/>
  <c r="N355" i="3"/>
  <c r="H355" i="3"/>
  <c r="F355" i="3"/>
  <c r="D355" i="3"/>
  <c r="B355" i="3"/>
  <c r="S354" i="3"/>
  <c r="J351" i="2" s="1"/>
  <c r="Q354" i="3"/>
  <c r="L354" i="3"/>
  <c r="K354" i="3"/>
  <c r="I354" i="3"/>
  <c r="P354" i="3"/>
  <c r="N354" i="3"/>
  <c r="H354" i="3"/>
  <c r="F354" i="3"/>
  <c r="D354" i="3"/>
  <c r="B354" i="3"/>
  <c r="S353" i="3"/>
  <c r="J350" i="2" s="1"/>
  <c r="Q353" i="3"/>
  <c r="L353" i="3"/>
  <c r="K353" i="3"/>
  <c r="I353" i="3"/>
  <c r="P353" i="3"/>
  <c r="N353" i="3"/>
  <c r="H353" i="3"/>
  <c r="F353" i="3"/>
  <c r="D353" i="3"/>
  <c r="B353" i="3"/>
  <c r="S352" i="3"/>
  <c r="J349" i="2" s="1"/>
  <c r="Q352" i="3"/>
  <c r="L352" i="3"/>
  <c r="K352" i="3"/>
  <c r="I352" i="3"/>
  <c r="P352" i="3"/>
  <c r="N352" i="3"/>
  <c r="H352" i="3"/>
  <c r="F352" i="3"/>
  <c r="D352" i="3"/>
  <c r="B352" i="3"/>
  <c r="S351" i="3"/>
  <c r="J348" i="2" s="1"/>
  <c r="Q351" i="3"/>
  <c r="L351" i="3"/>
  <c r="K351" i="3"/>
  <c r="I351" i="3"/>
  <c r="P351" i="3"/>
  <c r="N351" i="3"/>
  <c r="H351" i="3"/>
  <c r="F351" i="3"/>
  <c r="D351" i="3"/>
  <c r="B351" i="3"/>
  <c r="S350" i="3"/>
  <c r="J347" i="2" s="1"/>
  <c r="Q350" i="3"/>
  <c r="L350" i="3"/>
  <c r="K350" i="3"/>
  <c r="I350" i="3"/>
  <c r="P350" i="3"/>
  <c r="N350" i="3"/>
  <c r="H350" i="3"/>
  <c r="F350" i="3"/>
  <c r="D350" i="3"/>
  <c r="B350" i="3"/>
  <c r="S349" i="3"/>
  <c r="J346" i="2" s="1"/>
  <c r="Q349" i="3"/>
  <c r="L349" i="3"/>
  <c r="K349" i="3"/>
  <c r="I349" i="3"/>
  <c r="P349" i="3"/>
  <c r="N349" i="3"/>
  <c r="H349" i="3"/>
  <c r="F349" i="3"/>
  <c r="D349" i="3"/>
  <c r="B349" i="3"/>
  <c r="S348" i="3"/>
  <c r="J345" i="2" s="1"/>
  <c r="Q348" i="3"/>
  <c r="L348" i="3"/>
  <c r="K348" i="3"/>
  <c r="I348" i="3"/>
  <c r="P348" i="3"/>
  <c r="N348" i="3"/>
  <c r="H348" i="3"/>
  <c r="F348" i="3"/>
  <c r="D348" i="3"/>
  <c r="B348" i="3"/>
  <c r="S347" i="3"/>
  <c r="J344" i="2" s="1"/>
  <c r="Q347" i="3"/>
  <c r="L347" i="3"/>
  <c r="K347" i="3"/>
  <c r="I347" i="3"/>
  <c r="P347" i="3"/>
  <c r="N347" i="3"/>
  <c r="H347" i="3"/>
  <c r="F347" i="3"/>
  <c r="D347" i="3"/>
  <c r="B347" i="3"/>
  <c r="S346" i="3"/>
  <c r="J343" i="2" s="1"/>
  <c r="Q346" i="3"/>
  <c r="L346" i="3"/>
  <c r="K346" i="3"/>
  <c r="I346" i="3"/>
  <c r="P346" i="3"/>
  <c r="N346" i="3"/>
  <c r="H346" i="3"/>
  <c r="F346" i="3"/>
  <c r="D346" i="3"/>
  <c r="B346" i="3"/>
  <c r="S345" i="3"/>
  <c r="J342" i="2" s="1"/>
  <c r="Q345" i="3"/>
  <c r="L345" i="3"/>
  <c r="K345" i="3"/>
  <c r="I345" i="3"/>
  <c r="P345" i="3"/>
  <c r="N345" i="3"/>
  <c r="H345" i="3"/>
  <c r="F345" i="3"/>
  <c r="D345" i="3"/>
  <c r="B345" i="3"/>
  <c r="S344" i="3"/>
  <c r="J341" i="2" s="1"/>
  <c r="Q344" i="3"/>
  <c r="L344" i="3"/>
  <c r="K344" i="3"/>
  <c r="I344" i="3"/>
  <c r="P344" i="3"/>
  <c r="N344" i="3"/>
  <c r="H344" i="3"/>
  <c r="F344" i="3"/>
  <c r="D344" i="3"/>
  <c r="B344" i="3"/>
  <c r="S343" i="3"/>
  <c r="J340" i="2" s="1"/>
  <c r="Q343" i="3"/>
  <c r="L343" i="3"/>
  <c r="K343" i="3"/>
  <c r="I343" i="3"/>
  <c r="P343" i="3"/>
  <c r="N343" i="3"/>
  <c r="H343" i="3"/>
  <c r="F343" i="3"/>
  <c r="D343" i="3"/>
  <c r="B343" i="3"/>
  <c r="S342" i="3"/>
  <c r="J339" i="2" s="1"/>
  <c r="Q342" i="3"/>
  <c r="L342" i="3"/>
  <c r="K342" i="3"/>
  <c r="I342" i="3"/>
  <c r="P342" i="3"/>
  <c r="N342" i="3"/>
  <c r="H342" i="3"/>
  <c r="F342" i="3"/>
  <c r="D342" i="3"/>
  <c r="B342" i="3"/>
  <c r="S341" i="3"/>
  <c r="J338" i="2" s="1"/>
  <c r="Q341" i="3"/>
  <c r="L341" i="3"/>
  <c r="K341" i="3"/>
  <c r="I341" i="3"/>
  <c r="P341" i="3"/>
  <c r="N341" i="3"/>
  <c r="H341" i="3"/>
  <c r="F341" i="3"/>
  <c r="D341" i="3"/>
  <c r="B341" i="3"/>
  <c r="S340" i="3"/>
  <c r="J337" i="2" s="1"/>
  <c r="Q340" i="3"/>
  <c r="L340" i="3"/>
  <c r="K340" i="3"/>
  <c r="I340" i="3"/>
  <c r="P340" i="3"/>
  <c r="N340" i="3"/>
  <c r="H340" i="3"/>
  <c r="F340" i="3"/>
  <c r="D340" i="3"/>
  <c r="B340" i="3"/>
  <c r="S339" i="3"/>
  <c r="J336" i="2" s="1"/>
  <c r="Q339" i="3"/>
  <c r="L339" i="3"/>
  <c r="K339" i="3"/>
  <c r="I339" i="3"/>
  <c r="P339" i="3"/>
  <c r="N339" i="3"/>
  <c r="H339" i="3"/>
  <c r="F339" i="3"/>
  <c r="D339" i="3"/>
  <c r="B339" i="3"/>
  <c r="S338" i="3"/>
  <c r="J335" i="2" s="1"/>
  <c r="Q338" i="3"/>
  <c r="L338" i="3"/>
  <c r="K338" i="3"/>
  <c r="I338" i="3"/>
  <c r="P338" i="3"/>
  <c r="N338" i="3"/>
  <c r="H338" i="3"/>
  <c r="F338" i="3"/>
  <c r="D338" i="3"/>
  <c r="B338" i="3"/>
  <c r="S337" i="3"/>
  <c r="J334" i="2" s="1"/>
  <c r="Q337" i="3"/>
  <c r="L337" i="3"/>
  <c r="K337" i="3"/>
  <c r="I337" i="3"/>
  <c r="P337" i="3"/>
  <c r="N337" i="3"/>
  <c r="H337" i="3"/>
  <c r="F337" i="3"/>
  <c r="D337" i="3"/>
  <c r="B337" i="3"/>
  <c r="S336" i="3"/>
  <c r="J333" i="2" s="1"/>
  <c r="Q336" i="3"/>
  <c r="L336" i="3"/>
  <c r="K336" i="3"/>
  <c r="I336" i="3"/>
  <c r="P336" i="3"/>
  <c r="N336" i="3"/>
  <c r="H336" i="3"/>
  <c r="F336" i="3"/>
  <c r="D336" i="3"/>
  <c r="B336" i="3"/>
  <c r="S335" i="3"/>
  <c r="J332" i="2" s="1"/>
  <c r="Q335" i="3"/>
  <c r="L335" i="3"/>
  <c r="K335" i="3"/>
  <c r="I335" i="3"/>
  <c r="P335" i="3"/>
  <c r="N335" i="3"/>
  <c r="H335" i="3"/>
  <c r="F335" i="3"/>
  <c r="D335" i="3"/>
  <c r="B335" i="3"/>
  <c r="S334" i="3"/>
  <c r="J331" i="2" s="1"/>
  <c r="Q334" i="3"/>
  <c r="L334" i="3"/>
  <c r="K334" i="3"/>
  <c r="I334" i="3"/>
  <c r="P334" i="3"/>
  <c r="N334" i="3"/>
  <c r="H334" i="3"/>
  <c r="F334" i="3"/>
  <c r="D334" i="3"/>
  <c r="B334" i="3"/>
  <c r="S333" i="3"/>
  <c r="J330" i="2" s="1"/>
  <c r="Q333" i="3"/>
  <c r="L333" i="3"/>
  <c r="K333" i="3"/>
  <c r="I333" i="3"/>
  <c r="P333" i="3"/>
  <c r="N333" i="3"/>
  <c r="H333" i="3"/>
  <c r="F333" i="3"/>
  <c r="D333" i="3"/>
  <c r="B333" i="3"/>
  <c r="S332" i="3"/>
  <c r="J329" i="2" s="1"/>
  <c r="Q332" i="3"/>
  <c r="L332" i="3"/>
  <c r="K332" i="3"/>
  <c r="I332" i="3"/>
  <c r="P332" i="3"/>
  <c r="N332" i="3"/>
  <c r="H332" i="3"/>
  <c r="F332" i="3"/>
  <c r="D332" i="3"/>
  <c r="B332" i="3"/>
  <c r="S331" i="3"/>
  <c r="J328" i="2" s="1"/>
  <c r="Q331" i="3"/>
  <c r="L331" i="3"/>
  <c r="K331" i="3"/>
  <c r="I331" i="3"/>
  <c r="P331" i="3"/>
  <c r="N331" i="3"/>
  <c r="H331" i="3"/>
  <c r="F331" i="3"/>
  <c r="D331" i="3"/>
  <c r="B331" i="3"/>
  <c r="S330" i="3"/>
  <c r="J327" i="2" s="1"/>
  <c r="Q330" i="3"/>
  <c r="L330" i="3"/>
  <c r="K330" i="3"/>
  <c r="I330" i="3"/>
  <c r="P330" i="3"/>
  <c r="N330" i="3"/>
  <c r="H330" i="3"/>
  <c r="F330" i="3"/>
  <c r="D330" i="3"/>
  <c r="B330" i="3"/>
  <c r="S329" i="3"/>
  <c r="J326" i="2" s="1"/>
  <c r="Q329" i="3"/>
  <c r="L329" i="3"/>
  <c r="K329" i="3"/>
  <c r="I329" i="3"/>
  <c r="P329" i="3"/>
  <c r="N329" i="3"/>
  <c r="H329" i="3"/>
  <c r="F329" i="3"/>
  <c r="D329" i="3"/>
  <c r="B329" i="3"/>
  <c r="S328" i="3"/>
  <c r="J325" i="2" s="1"/>
  <c r="Q328" i="3"/>
  <c r="L328" i="3"/>
  <c r="K328" i="3"/>
  <c r="I328" i="3"/>
  <c r="P328" i="3"/>
  <c r="N328" i="3"/>
  <c r="H328" i="3"/>
  <c r="F328" i="3"/>
  <c r="D328" i="3"/>
  <c r="B328" i="3"/>
  <c r="S327" i="3"/>
  <c r="J324" i="2" s="1"/>
  <c r="Q327" i="3"/>
  <c r="L327" i="3"/>
  <c r="K327" i="3"/>
  <c r="I327" i="3"/>
  <c r="P327" i="3"/>
  <c r="N327" i="3"/>
  <c r="H327" i="3"/>
  <c r="F327" i="3"/>
  <c r="D327" i="3"/>
  <c r="B327" i="3"/>
  <c r="S326" i="3"/>
  <c r="J323" i="2" s="1"/>
  <c r="Q326" i="3"/>
  <c r="L326" i="3"/>
  <c r="K326" i="3"/>
  <c r="I326" i="3"/>
  <c r="P326" i="3"/>
  <c r="N326" i="3"/>
  <c r="H326" i="3"/>
  <c r="F326" i="3"/>
  <c r="D326" i="3"/>
  <c r="B326" i="3"/>
  <c r="S325" i="3"/>
  <c r="J322" i="2" s="1"/>
  <c r="Q325" i="3"/>
  <c r="L325" i="3"/>
  <c r="K325" i="3"/>
  <c r="I325" i="3"/>
  <c r="P325" i="3"/>
  <c r="N325" i="3"/>
  <c r="H325" i="3"/>
  <c r="F325" i="3"/>
  <c r="D325" i="3"/>
  <c r="B325" i="3"/>
  <c r="S324" i="3"/>
  <c r="J321" i="2" s="1"/>
  <c r="Q324" i="3"/>
  <c r="L324" i="3"/>
  <c r="K324" i="3"/>
  <c r="I324" i="3"/>
  <c r="P324" i="3"/>
  <c r="N324" i="3"/>
  <c r="H324" i="3"/>
  <c r="F324" i="3"/>
  <c r="D324" i="3"/>
  <c r="B324" i="3"/>
  <c r="S323" i="3"/>
  <c r="J320" i="2" s="1"/>
  <c r="Q323" i="3"/>
  <c r="L323" i="3"/>
  <c r="K323" i="3"/>
  <c r="I323" i="3"/>
  <c r="P323" i="3"/>
  <c r="N323" i="3"/>
  <c r="H323" i="3"/>
  <c r="F323" i="3"/>
  <c r="D323" i="3"/>
  <c r="B323" i="3"/>
  <c r="S322" i="3"/>
  <c r="J319" i="2" s="1"/>
  <c r="Q322" i="3"/>
  <c r="L322" i="3"/>
  <c r="K322" i="3"/>
  <c r="I322" i="3"/>
  <c r="P322" i="3"/>
  <c r="N322" i="3"/>
  <c r="H322" i="3"/>
  <c r="F322" i="3"/>
  <c r="D322" i="3"/>
  <c r="B322" i="3"/>
  <c r="S321" i="3"/>
  <c r="J318" i="2" s="1"/>
  <c r="Q321" i="3"/>
  <c r="L321" i="3"/>
  <c r="K321" i="3"/>
  <c r="I321" i="3"/>
  <c r="P321" i="3"/>
  <c r="N321" i="3"/>
  <c r="H321" i="3"/>
  <c r="F321" i="3"/>
  <c r="D321" i="3"/>
  <c r="B321" i="3"/>
  <c r="S320" i="3"/>
  <c r="J317" i="2" s="1"/>
  <c r="Q320" i="3"/>
  <c r="L320" i="3"/>
  <c r="K320" i="3"/>
  <c r="I320" i="3"/>
  <c r="P320" i="3"/>
  <c r="N320" i="3"/>
  <c r="H320" i="3"/>
  <c r="F320" i="3"/>
  <c r="D320" i="3"/>
  <c r="B320" i="3"/>
  <c r="S319" i="3"/>
  <c r="J316" i="2" s="1"/>
  <c r="Q319" i="3"/>
  <c r="L319" i="3"/>
  <c r="K319" i="3"/>
  <c r="I319" i="3"/>
  <c r="P319" i="3"/>
  <c r="N319" i="3"/>
  <c r="H319" i="3"/>
  <c r="F319" i="3"/>
  <c r="D319" i="3"/>
  <c r="B319" i="3"/>
  <c r="S318" i="3"/>
  <c r="J315" i="2" s="1"/>
  <c r="Q318" i="3"/>
  <c r="L318" i="3"/>
  <c r="K318" i="3"/>
  <c r="I318" i="3"/>
  <c r="P318" i="3"/>
  <c r="N318" i="3"/>
  <c r="H318" i="3"/>
  <c r="F318" i="3"/>
  <c r="D318" i="3"/>
  <c r="B318" i="3"/>
  <c r="S317" i="3"/>
  <c r="J314" i="2" s="1"/>
  <c r="Q317" i="3"/>
  <c r="L317" i="3"/>
  <c r="K317" i="3"/>
  <c r="I317" i="3"/>
  <c r="P317" i="3"/>
  <c r="N317" i="3"/>
  <c r="H317" i="3"/>
  <c r="F317" i="3"/>
  <c r="D317" i="3"/>
  <c r="B317" i="3"/>
  <c r="S316" i="3"/>
  <c r="J313" i="2" s="1"/>
  <c r="Q316" i="3"/>
  <c r="L316" i="3"/>
  <c r="K316" i="3"/>
  <c r="I316" i="3"/>
  <c r="P316" i="3"/>
  <c r="N316" i="3"/>
  <c r="H316" i="3"/>
  <c r="F316" i="3"/>
  <c r="D316" i="3"/>
  <c r="B316" i="3"/>
  <c r="S315" i="3"/>
  <c r="J312" i="2" s="1"/>
  <c r="Q315" i="3"/>
  <c r="L315" i="3"/>
  <c r="K315" i="3"/>
  <c r="I315" i="3"/>
  <c r="P315" i="3"/>
  <c r="N315" i="3"/>
  <c r="H315" i="3"/>
  <c r="F315" i="3"/>
  <c r="D315" i="3"/>
  <c r="B315" i="3"/>
  <c r="S314" i="3"/>
  <c r="J311" i="2" s="1"/>
  <c r="Q314" i="3"/>
  <c r="L314" i="3"/>
  <c r="K314" i="3"/>
  <c r="I314" i="3"/>
  <c r="P314" i="3"/>
  <c r="N314" i="3"/>
  <c r="H314" i="3"/>
  <c r="F314" i="3"/>
  <c r="D314" i="3"/>
  <c r="B314" i="3"/>
  <c r="S313" i="3"/>
  <c r="J310" i="2" s="1"/>
  <c r="Q313" i="3"/>
  <c r="L313" i="3"/>
  <c r="K313" i="3"/>
  <c r="I313" i="3"/>
  <c r="P313" i="3"/>
  <c r="N313" i="3"/>
  <c r="H313" i="3"/>
  <c r="F313" i="3"/>
  <c r="D313" i="3"/>
  <c r="B313" i="3"/>
  <c r="S312" i="3"/>
  <c r="J309" i="2" s="1"/>
  <c r="Q312" i="3"/>
  <c r="L312" i="3"/>
  <c r="K312" i="3"/>
  <c r="I312" i="3"/>
  <c r="P312" i="3"/>
  <c r="N312" i="3"/>
  <c r="H312" i="3"/>
  <c r="F312" i="3"/>
  <c r="D312" i="3"/>
  <c r="B312" i="3"/>
  <c r="S311" i="3"/>
  <c r="J308" i="2" s="1"/>
  <c r="Q311" i="3"/>
  <c r="L311" i="3"/>
  <c r="K311" i="3"/>
  <c r="I311" i="3"/>
  <c r="P311" i="3"/>
  <c r="N311" i="3"/>
  <c r="H311" i="3"/>
  <c r="F311" i="3"/>
  <c r="D311" i="3"/>
  <c r="B311" i="3"/>
  <c r="S310" i="3"/>
  <c r="J307" i="2" s="1"/>
  <c r="Q310" i="3"/>
  <c r="L310" i="3"/>
  <c r="K310" i="3"/>
  <c r="I310" i="3"/>
  <c r="P310" i="3"/>
  <c r="N310" i="3"/>
  <c r="H310" i="3"/>
  <c r="F310" i="3"/>
  <c r="D310" i="3"/>
  <c r="B310" i="3"/>
  <c r="S309" i="3"/>
  <c r="J306" i="2" s="1"/>
  <c r="Q309" i="3"/>
  <c r="L309" i="3"/>
  <c r="K309" i="3"/>
  <c r="I309" i="3"/>
  <c r="P309" i="3"/>
  <c r="N309" i="3"/>
  <c r="H309" i="3"/>
  <c r="F309" i="3"/>
  <c r="D309" i="3"/>
  <c r="B309" i="3"/>
  <c r="S308" i="3"/>
  <c r="J305" i="2" s="1"/>
  <c r="Q308" i="3"/>
  <c r="L308" i="3"/>
  <c r="K308" i="3"/>
  <c r="I308" i="3"/>
  <c r="P308" i="3"/>
  <c r="N308" i="3"/>
  <c r="H308" i="3"/>
  <c r="F308" i="3"/>
  <c r="D308" i="3"/>
  <c r="B308" i="3"/>
  <c r="S307" i="3"/>
  <c r="J304" i="2" s="1"/>
  <c r="Q307" i="3"/>
  <c r="L307" i="3"/>
  <c r="K307" i="3"/>
  <c r="I307" i="3"/>
  <c r="P307" i="3"/>
  <c r="N307" i="3"/>
  <c r="H307" i="3"/>
  <c r="F307" i="3"/>
  <c r="D307" i="3"/>
  <c r="B307" i="3"/>
  <c r="S306" i="3"/>
  <c r="J303" i="2" s="1"/>
  <c r="Q306" i="3"/>
  <c r="L306" i="3"/>
  <c r="K306" i="3"/>
  <c r="I306" i="3"/>
  <c r="P306" i="3"/>
  <c r="N306" i="3"/>
  <c r="H306" i="3"/>
  <c r="F306" i="3"/>
  <c r="D306" i="3"/>
  <c r="B306" i="3"/>
  <c r="S305" i="3"/>
  <c r="J302" i="2" s="1"/>
  <c r="Q305" i="3"/>
  <c r="L305" i="3"/>
  <c r="K305" i="3"/>
  <c r="I305" i="3"/>
  <c r="P305" i="3"/>
  <c r="N305" i="3"/>
  <c r="H305" i="3"/>
  <c r="F305" i="3"/>
  <c r="D305" i="3"/>
  <c r="B305" i="3"/>
  <c r="S304" i="3"/>
  <c r="J301" i="2" s="1"/>
  <c r="Q304" i="3"/>
  <c r="L304" i="3"/>
  <c r="K304" i="3"/>
  <c r="I304" i="3"/>
  <c r="P304" i="3"/>
  <c r="N304" i="3"/>
  <c r="H304" i="3"/>
  <c r="F304" i="3"/>
  <c r="D304" i="3"/>
  <c r="B304" i="3"/>
  <c r="S303" i="3"/>
  <c r="J300" i="2" s="1"/>
  <c r="Q303" i="3"/>
  <c r="L303" i="3"/>
  <c r="K303" i="3"/>
  <c r="I303" i="3"/>
  <c r="P303" i="3"/>
  <c r="N303" i="3"/>
  <c r="H303" i="3"/>
  <c r="F303" i="3"/>
  <c r="D303" i="3"/>
  <c r="B303" i="3"/>
  <c r="S302" i="3"/>
  <c r="J299" i="2" s="1"/>
  <c r="Q302" i="3"/>
  <c r="L302" i="3"/>
  <c r="K302" i="3"/>
  <c r="I302" i="3"/>
  <c r="P302" i="3"/>
  <c r="N302" i="3"/>
  <c r="H302" i="3"/>
  <c r="F302" i="3"/>
  <c r="D302" i="3"/>
  <c r="B302" i="3"/>
  <c r="S301" i="3"/>
  <c r="J298" i="2" s="1"/>
  <c r="Q301" i="3"/>
  <c r="L301" i="3"/>
  <c r="K301" i="3"/>
  <c r="I301" i="3"/>
  <c r="P301" i="3"/>
  <c r="N301" i="3"/>
  <c r="H301" i="3"/>
  <c r="F301" i="3"/>
  <c r="D301" i="3"/>
  <c r="B301" i="3"/>
  <c r="S300" i="3"/>
  <c r="J297" i="2" s="1"/>
  <c r="Q300" i="3"/>
  <c r="L300" i="3"/>
  <c r="K300" i="3"/>
  <c r="I300" i="3"/>
  <c r="P300" i="3"/>
  <c r="N300" i="3"/>
  <c r="H300" i="3"/>
  <c r="F300" i="3"/>
  <c r="D300" i="3"/>
  <c r="B300" i="3"/>
  <c r="S299" i="3"/>
  <c r="J296" i="2" s="1"/>
  <c r="Q299" i="3"/>
  <c r="L299" i="3"/>
  <c r="K299" i="3"/>
  <c r="I299" i="3"/>
  <c r="P299" i="3"/>
  <c r="N299" i="3"/>
  <c r="H299" i="3"/>
  <c r="F299" i="3"/>
  <c r="D299" i="3"/>
  <c r="B299" i="3"/>
  <c r="S298" i="3"/>
  <c r="J295" i="2" s="1"/>
  <c r="Q298" i="3"/>
  <c r="L298" i="3"/>
  <c r="K298" i="3"/>
  <c r="I298" i="3"/>
  <c r="P298" i="3"/>
  <c r="N298" i="3"/>
  <c r="H298" i="3"/>
  <c r="F298" i="3"/>
  <c r="D298" i="3"/>
  <c r="B298" i="3"/>
  <c r="S297" i="3"/>
  <c r="J294" i="2" s="1"/>
  <c r="Q297" i="3"/>
  <c r="L297" i="3"/>
  <c r="K297" i="3"/>
  <c r="I297" i="3"/>
  <c r="P297" i="3"/>
  <c r="N297" i="3"/>
  <c r="H297" i="3"/>
  <c r="F297" i="3"/>
  <c r="D297" i="3"/>
  <c r="B297" i="3"/>
  <c r="S296" i="3"/>
  <c r="J293" i="2" s="1"/>
  <c r="Q296" i="3"/>
  <c r="L296" i="3"/>
  <c r="K296" i="3"/>
  <c r="I296" i="3"/>
  <c r="P296" i="3"/>
  <c r="N296" i="3"/>
  <c r="H296" i="3"/>
  <c r="F296" i="3"/>
  <c r="D296" i="3"/>
  <c r="B296" i="3"/>
  <c r="S295" i="3"/>
  <c r="J292" i="2" s="1"/>
  <c r="Q295" i="3"/>
  <c r="L295" i="3"/>
  <c r="K295" i="3"/>
  <c r="I295" i="3"/>
  <c r="P295" i="3"/>
  <c r="N295" i="3"/>
  <c r="H295" i="3"/>
  <c r="F295" i="3"/>
  <c r="D295" i="3"/>
  <c r="B295" i="3"/>
  <c r="S294" i="3"/>
  <c r="J291" i="2" s="1"/>
  <c r="Q294" i="3"/>
  <c r="L294" i="3"/>
  <c r="K294" i="3"/>
  <c r="I294" i="3"/>
  <c r="P294" i="3"/>
  <c r="N294" i="3"/>
  <c r="H294" i="3"/>
  <c r="F294" i="3"/>
  <c r="D294" i="3"/>
  <c r="B294" i="3"/>
  <c r="S293" i="3"/>
  <c r="J290" i="2" s="1"/>
  <c r="Q293" i="3"/>
  <c r="L293" i="3"/>
  <c r="K293" i="3"/>
  <c r="I293" i="3"/>
  <c r="P293" i="3"/>
  <c r="N293" i="3"/>
  <c r="H293" i="3"/>
  <c r="F293" i="3"/>
  <c r="D293" i="3"/>
  <c r="B293" i="3"/>
  <c r="S292" i="3"/>
  <c r="J289" i="2" s="1"/>
  <c r="Q292" i="3"/>
  <c r="L292" i="3"/>
  <c r="K292" i="3"/>
  <c r="I292" i="3"/>
  <c r="P292" i="3"/>
  <c r="N292" i="3"/>
  <c r="H292" i="3"/>
  <c r="F292" i="3"/>
  <c r="D292" i="3"/>
  <c r="B292" i="3"/>
  <c r="S291" i="3"/>
  <c r="J288" i="2" s="1"/>
  <c r="Q291" i="3"/>
  <c r="L291" i="3"/>
  <c r="K291" i="3"/>
  <c r="I291" i="3"/>
  <c r="P291" i="3"/>
  <c r="N291" i="3"/>
  <c r="H291" i="3"/>
  <c r="F291" i="3"/>
  <c r="D291" i="3"/>
  <c r="B291" i="3"/>
  <c r="S290" i="3"/>
  <c r="J287" i="2" s="1"/>
  <c r="Q290" i="3"/>
  <c r="L290" i="3"/>
  <c r="K290" i="3"/>
  <c r="I290" i="3"/>
  <c r="P290" i="3"/>
  <c r="N290" i="3"/>
  <c r="H290" i="3"/>
  <c r="F290" i="3"/>
  <c r="D290" i="3"/>
  <c r="B290" i="3"/>
  <c r="S289" i="3"/>
  <c r="J286" i="2" s="1"/>
  <c r="Q289" i="3"/>
  <c r="L289" i="3"/>
  <c r="K289" i="3"/>
  <c r="I289" i="3"/>
  <c r="P289" i="3"/>
  <c r="N289" i="3"/>
  <c r="H289" i="3"/>
  <c r="F289" i="3"/>
  <c r="D289" i="3"/>
  <c r="B289" i="3"/>
  <c r="S288" i="3"/>
  <c r="J285" i="2" s="1"/>
  <c r="Q288" i="3"/>
  <c r="L288" i="3"/>
  <c r="K288" i="3"/>
  <c r="I288" i="3"/>
  <c r="P288" i="3"/>
  <c r="N288" i="3"/>
  <c r="H288" i="3"/>
  <c r="F288" i="3"/>
  <c r="D288" i="3"/>
  <c r="B288" i="3"/>
  <c r="S287" i="3"/>
  <c r="J284" i="2" s="1"/>
  <c r="Q287" i="3"/>
  <c r="L287" i="3"/>
  <c r="K287" i="3"/>
  <c r="I287" i="3"/>
  <c r="P287" i="3"/>
  <c r="N287" i="3"/>
  <c r="H287" i="3"/>
  <c r="F287" i="3"/>
  <c r="D287" i="3"/>
  <c r="B287" i="3"/>
  <c r="S286" i="3"/>
  <c r="J283" i="2" s="1"/>
  <c r="Q286" i="3"/>
  <c r="L286" i="3"/>
  <c r="K286" i="3"/>
  <c r="I286" i="3"/>
  <c r="P286" i="3"/>
  <c r="N286" i="3"/>
  <c r="H286" i="3"/>
  <c r="F286" i="3"/>
  <c r="D286" i="3"/>
  <c r="B286" i="3"/>
  <c r="S285" i="3"/>
  <c r="J282" i="2" s="1"/>
  <c r="Q285" i="3"/>
  <c r="L285" i="3"/>
  <c r="K285" i="3"/>
  <c r="I285" i="3"/>
  <c r="P285" i="3"/>
  <c r="N285" i="3"/>
  <c r="H285" i="3"/>
  <c r="F285" i="3"/>
  <c r="D285" i="3"/>
  <c r="B285" i="3"/>
  <c r="S284" i="3"/>
  <c r="J281" i="2" s="1"/>
  <c r="Q284" i="3"/>
  <c r="L284" i="3"/>
  <c r="K284" i="3"/>
  <c r="I284" i="3"/>
  <c r="P284" i="3"/>
  <c r="N284" i="3"/>
  <c r="H284" i="3"/>
  <c r="F284" i="3"/>
  <c r="D284" i="3"/>
  <c r="B284" i="3"/>
  <c r="S283" i="3"/>
  <c r="J280" i="2" s="1"/>
  <c r="Q283" i="3"/>
  <c r="L283" i="3"/>
  <c r="K283" i="3"/>
  <c r="I283" i="3"/>
  <c r="P283" i="3"/>
  <c r="N283" i="3"/>
  <c r="H283" i="3"/>
  <c r="F283" i="3"/>
  <c r="D283" i="3"/>
  <c r="B283" i="3"/>
  <c r="S282" i="3"/>
  <c r="J279" i="2" s="1"/>
  <c r="Q282" i="3"/>
  <c r="L282" i="3"/>
  <c r="K282" i="3"/>
  <c r="I282" i="3"/>
  <c r="P282" i="3"/>
  <c r="N282" i="3"/>
  <c r="H282" i="3"/>
  <c r="F282" i="3"/>
  <c r="D282" i="3"/>
  <c r="B282" i="3"/>
  <c r="S281" i="3"/>
  <c r="J278" i="2" s="1"/>
  <c r="Q281" i="3"/>
  <c r="L281" i="3"/>
  <c r="K281" i="3"/>
  <c r="I281" i="3"/>
  <c r="P281" i="3"/>
  <c r="N281" i="3"/>
  <c r="H281" i="3"/>
  <c r="F281" i="3"/>
  <c r="D281" i="3"/>
  <c r="B281" i="3"/>
  <c r="S280" i="3"/>
  <c r="J277" i="2" s="1"/>
  <c r="Q280" i="3"/>
  <c r="L280" i="3"/>
  <c r="K280" i="3"/>
  <c r="I280" i="3"/>
  <c r="P280" i="3"/>
  <c r="N280" i="3"/>
  <c r="H280" i="3"/>
  <c r="F280" i="3"/>
  <c r="D280" i="3"/>
  <c r="B280" i="3"/>
  <c r="S279" i="3"/>
  <c r="J276" i="2" s="1"/>
  <c r="Q279" i="3"/>
  <c r="L279" i="3"/>
  <c r="K279" i="3"/>
  <c r="I279" i="3"/>
  <c r="P279" i="3"/>
  <c r="N279" i="3"/>
  <c r="H279" i="3"/>
  <c r="F279" i="3"/>
  <c r="D279" i="3"/>
  <c r="B279" i="3"/>
  <c r="S278" i="3"/>
  <c r="J275" i="2" s="1"/>
  <c r="Q278" i="3"/>
  <c r="L278" i="3"/>
  <c r="K278" i="3"/>
  <c r="I278" i="3"/>
  <c r="P278" i="3"/>
  <c r="N278" i="3"/>
  <c r="H278" i="3"/>
  <c r="F278" i="3"/>
  <c r="D278" i="3"/>
  <c r="B278" i="3"/>
  <c r="S277" i="3"/>
  <c r="J274" i="2" s="1"/>
  <c r="Q277" i="3"/>
  <c r="L277" i="3"/>
  <c r="K277" i="3"/>
  <c r="I277" i="3"/>
  <c r="P277" i="3"/>
  <c r="N277" i="3"/>
  <c r="H277" i="3"/>
  <c r="F277" i="3"/>
  <c r="D277" i="3"/>
  <c r="B277" i="3"/>
  <c r="S276" i="3"/>
  <c r="J273" i="2" s="1"/>
  <c r="Q276" i="3"/>
  <c r="L276" i="3"/>
  <c r="K276" i="3"/>
  <c r="I276" i="3"/>
  <c r="P276" i="3"/>
  <c r="N276" i="3"/>
  <c r="H276" i="3"/>
  <c r="F276" i="3"/>
  <c r="D276" i="3"/>
  <c r="B276" i="3"/>
  <c r="S275" i="3"/>
  <c r="J272" i="2" s="1"/>
  <c r="Q275" i="3"/>
  <c r="L275" i="3"/>
  <c r="K275" i="3"/>
  <c r="I275" i="3"/>
  <c r="P275" i="3"/>
  <c r="N275" i="3"/>
  <c r="H275" i="3"/>
  <c r="F275" i="3"/>
  <c r="D275" i="3"/>
  <c r="B275" i="3"/>
  <c r="S274" i="3"/>
  <c r="J271" i="2" s="1"/>
  <c r="Q274" i="3"/>
  <c r="L274" i="3"/>
  <c r="K274" i="3"/>
  <c r="I274" i="3"/>
  <c r="P274" i="3"/>
  <c r="N274" i="3"/>
  <c r="H274" i="3"/>
  <c r="F274" i="3"/>
  <c r="D274" i="3"/>
  <c r="B274" i="3"/>
  <c r="S273" i="3"/>
  <c r="J270" i="2" s="1"/>
  <c r="Q273" i="3"/>
  <c r="L273" i="3"/>
  <c r="K273" i="3"/>
  <c r="I273" i="3"/>
  <c r="P273" i="3"/>
  <c r="N273" i="3"/>
  <c r="H273" i="3"/>
  <c r="F273" i="3"/>
  <c r="D273" i="3"/>
  <c r="B273" i="3"/>
  <c r="S272" i="3"/>
  <c r="J269" i="2" s="1"/>
  <c r="Q272" i="3"/>
  <c r="L272" i="3"/>
  <c r="K272" i="3"/>
  <c r="I272" i="3"/>
  <c r="P272" i="3"/>
  <c r="N272" i="3"/>
  <c r="H272" i="3"/>
  <c r="F272" i="3"/>
  <c r="D272" i="3"/>
  <c r="B272" i="3"/>
  <c r="S271" i="3"/>
  <c r="J268" i="2" s="1"/>
  <c r="Q271" i="3"/>
  <c r="L271" i="3"/>
  <c r="K271" i="3"/>
  <c r="I271" i="3"/>
  <c r="P271" i="3"/>
  <c r="N271" i="3"/>
  <c r="H271" i="3"/>
  <c r="F271" i="3"/>
  <c r="D271" i="3"/>
  <c r="B271" i="3"/>
  <c r="S270" i="3"/>
  <c r="J267" i="2" s="1"/>
  <c r="Q270" i="3"/>
  <c r="L270" i="3"/>
  <c r="K270" i="3"/>
  <c r="I270" i="3"/>
  <c r="P270" i="3"/>
  <c r="N270" i="3"/>
  <c r="H270" i="3"/>
  <c r="F270" i="3"/>
  <c r="D270" i="3"/>
  <c r="B270" i="3"/>
  <c r="S269" i="3"/>
  <c r="J266" i="2" s="1"/>
  <c r="Q269" i="3"/>
  <c r="L269" i="3"/>
  <c r="K269" i="3"/>
  <c r="I269" i="3"/>
  <c r="P269" i="3"/>
  <c r="N269" i="3"/>
  <c r="H269" i="3"/>
  <c r="F269" i="3"/>
  <c r="D269" i="3"/>
  <c r="B269" i="3"/>
  <c r="S268" i="3"/>
  <c r="J265" i="2" s="1"/>
  <c r="Q268" i="3"/>
  <c r="L268" i="3"/>
  <c r="K268" i="3"/>
  <c r="I268" i="3"/>
  <c r="P268" i="3"/>
  <c r="N268" i="3"/>
  <c r="H268" i="3"/>
  <c r="F268" i="3"/>
  <c r="D268" i="3"/>
  <c r="B268" i="3"/>
  <c r="S267" i="3"/>
  <c r="J264" i="2" s="1"/>
  <c r="Q267" i="3"/>
  <c r="L267" i="3"/>
  <c r="K267" i="3"/>
  <c r="I267" i="3"/>
  <c r="P267" i="3"/>
  <c r="N267" i="3"/>
  <c r="H267" i="3"/>
  <c r="F267" i="3"/>
  <c r="D267" i="3"/>
  <c r="B267" i="3"/>
  <c r="S266" i="3"/>
  <c r="J263" i="2" s="1"/>
  <c r="Q266" i="3"/>
  <c r="L266" i="3"/>
  <c r="K266" i="3"/>
  <c r="I266" i="3"/>
  <c r="P266" i="3"/>
  <c r="N266" i="3"/>
  <c r="H266" i="3"/>
  <c r="F266" i="3"/>
  <c r="D266" i="3"/>
  <c r="B266" i="3"/>
  <c r="S265" i="3"/>
  <c r="J262" i="2" s="1"/>
  <c r="Q265" i="3"/>
  <c r="L265" i="3"/>
  <c r="K265" i="3"/>
  <c r="I265" i="3"/>
  <c r="P265" i="3"/>
  <c r="N265" i="3"/>
  <c r="H265" i="3"/>
  <c r="F265" i="3"/>
  <c r="D265" i="3"/>
  <c r="B265" i="3"/>
  <c r="S264" i="3"/>
  <c r="J261" i="2" s="1"/>
  <c r="Q264" i="3"/>
  <c r="L264" i="3"/>
  <c r="K264" i="3"/>
  <c r="I264" i="3"/>
  <c r="P264" i="3"/>
  <c r="N264" i="3"/>
  <c r="H264" i="3"/>
  <c r="F264" i="3"/>
  <c r="D264" i="3"/>
  <c r="B264" i="3"/>
  <c r="S263" i="3"/>
  <c r="J260" i="2" s="1"/>
  <c r="Q263" i="3"/>
  <c r="L263" i="3"/>
  <c r="K263" i="3"/>
  <c r="I263" i="3"/>
  <c r="P263" i="3"/>
  <c r="N263" i="3"/>
  <c r="H263" i="3"/>
  <c r="F263" i="3"/>
  <c r="D263" i="3"/>
  <c r="B263" i="3"/>
  <c r="S262" i="3"/>
  <c r="J259" i="2" s="1"/>
  <c r="Q262" i="3"/>
  <c r="L262" i="3"/>
  <c r="K262" i="3"/>
  <c r="I262" i="3"/>
  <c r="P262" i="3"/>
  <c r="N262" i="3"/>
  <c r="H262" i="3"/>
  <c r="F262" i="3"/>
  <c r="D262" i="3"/>
  <c r="B262" i="3"/>
  <c r="S261" i="3"/>
  <c r="J258" i="2" s="1"/>
  <c r="Q261" i="3"/>
  <c r="L261" i="3"/>
  <c r="K261" i="3"/>
  <c r="I261" i="3"/>
  <c r="P261" i="3"/>
  <c r="N261" i="3"/>
  <c r="H261" i="3"/>
  <c r="F261" i="3"/>
  <c r="D261" i="3"/>
  <c r="B261" i="3"/>
  <c r="S260" i="3"/>
  <c r="J257" i="2" s="1"/>
  <c r="Q260" i="3"/>
  <c r="L260" i="3"/>
  <c r="K260" i="3"/>
  <c r="I260" i="3"/>
  <c r="P260" i="3"/>
  <c r="N260" i="3"/>
  <c r="H260" i="3"/>
  <c r="F260" i="3"/>
  <c r="D260" i="3"/>
  <c r="B260" i="3"/>
  <c r="S259" i="3"/>
  <c r="J256" i="2" s="1"/>
  <c r="Q259" i="3"/>
  <c r="L259" i="3"/>
  <c r="K259" i="3"/>
  <c r="I259" i="3"/>
  <c r="P259" i="3"/>
  <c r="N259" i="3"/>
  <c r="H259" i="3"/>
  <c r="F259" i="3"/>
  <c r="D259" i="3"/>
  <c r="B259" i="3"/>
  <c r="S258" i="3"/>
  <c r="J255" i="2" s="1"/>
  <c r="Q258" i="3"/>
  <c r="L258" i="3"/>
  <c r="K258" i="3"/>
  <c r="I258" i="3"/>
  <c r="P258" i="3"/>
  <c r="N258" i="3"/>
  <c r="H258" i="3"/>
  <c r="F258" i="3"/>
  <c r="D258" i="3"/>
  <c r="B258" i="3"/>
  <c r="S257" i="3"/>
  <c r="J254" i="2" s="1"/>
  <c r="Q257" i="3"/>
  <c r="L257" i="3"/>
  <c r="K257" i="3"/>
  <c r="I257" i="3"/>
  <c r="P257" i="3"/>
  <c r="N257" i="3"/>
  <c r="H257" i="3"/>
  <c r="F257" i="3"/>
  <c r="D257" i="3"/>
  <c r="B257" i="3"/>
  <c r="S256" i="3"/>
  <c r="J253" i="2" s="1"/>
  <c r="Q256" i="3"/>
  <c r="L256" i="3"/>
  <c r="K256" i="3"/>
  <c r="I256" i="3"/>
  <c r="P256" i="3"/>
  <c r="N256" i="3"/>
  <c r="H256" i="3"/>
  <c r="F256" i="3"/>
  <c r="D256" i="3"/>
  <c r="B256" i="3"/>
  <c r="S255" i="3"/>
  <c r="J252" i="2" s="1"/>
  <c r="Q255" i="3"/>
  <c r="L255" i="3"/>
  <c r="K255" i="3"/>
  <c r="I255" i="3"/>
  <c r="P255" i="3"/>
  <c r="N255" i="3"/>
  <c r="H255" i="3"/>
  <c r="F255" i="3"/>
  <c r="D255" i="3"/>
  <c r="B255" i="3"/>
  <c r="S254" i="3"/>
  <c r="J251" i="2" s="1"/>
  <c r="Q254" i="3"/>
  <c r="L254" i="3"/>
  <c r="K254" i="3"/>
  <c r="I254" i="3"/>
  <c r="P254" i="3"/>
  <c r="N254" i="3"/>
  <c r="H254" i="3"/>
  <c r="F254" i="3"/>
  <c r="D254" i="3"/>
  <c r="B254" i="3"/>
  <c r="S253" i="3"/>
  <c r="J250" i="2" s="1"/>
  <c r="Q253" i="3"/>
  <c r="L253" i="3"/>
  <c r="K253" i="3"/>
  <c r="I253" i="3"/>
  <c r="P253" i="3"/>
  <c r="N253" i="3"/>
  <c r="H253" i="3"/>
  <c r="F253" i="3"/>
  <c r="D253" i="3"/>
  <c r="B253" i="3"/>
  <c r="S252" i="3"/>
  <c r="J249" i="2" s="1"/>
  <c r="Q252" i="3"/>
  <c r="L252" i="3"/>
  <c r="K252" i="3"/>
  <c r="I252" i="3"/>
  <c r="P252" i="3"/>
  <c r="N252" i="3"/>
  <c r="H252" i="3"/>
  <c r="F252" i="3"/>
  <c r="D252" i="3"/>
  <c r="B252" i="3"/>
  <c r="S251" i="3"/>
  <c r="J248" i="2" s="1"/>
  <c r="Q251" i="3"/>
  <c r="L251" i="3"/>
  <c r="K251" i="3"/>
  <c r="I251" i="3"/>
  <c r="P251" i="3"/>
  <c r="N251" i="3"/>
  <c r="H251" i="3"/>
  <c r="F251" i="3"/>
  <c r="D251" i="3"/>
  <c r="B251" i="3"/>
  <c r="S250" i="3"/>
  <c r="J247" i="2" s="1"/>
  <c r="Q250" i="3"/>
  <c r="L250" i="3"/>
  <c r="K250" i="3"/>
  <c r="I250" i="3"/>
  <c r="P250" i="3"/>
  <c r="N250" i="3"/>
  <c r="H250" i="3"/>
  <c r="F250" i="3"/>
  <c r="D250" i="3"/>
  <c r="B250" i="3"/>
  <c r="S249" i="3"/>
  <c r="J246" i="2" s="1"/>
  <c r="Q249" i="3"/>
  <c r="L249" i="3"/>
  <c r="K249" i="3"/>
  <c r="I249" i="3"/>
  <c r="P249" i="3"/>
  <c r="N249" i="3"/>
  <c r="H249" i="3"/>
  <c r="F249" i="3"/>
  <c r="D249" i="3"/>
  <c r="B249" i="3"/>
  <c r="S248" i="3"/>
  <c r="J245" i="2" s="1"/>
  <c r="Q248" i="3"/>
  <c r="L248" i="3"/>
  <c r="K248" i="3"/>
  <c r="I248" i="3"/>
  <c r="P248" i="3"/>
  <c r="N248" i="3"/>
  <c r="H248" i="3"/>
  <c r="F248" i="3"/>
  <c r="D248" i="3"/>
  <c r="B248" i="3"/>
  <c r="S247" i="3"/>
  <c r="J244" i="2" s="1"/>
  <c r="Q247" i="3"/>
  <c r="L247" i="3"/>
  <c r="K247" i="3"/>
  <c r="I247" i="3"/>
  <c r="P247" i="3"/>
  <c r="N247" i="3"/>
  <c r="H247" i="3"/>
  <c r="F247" i="3"/>
  <c r="D247" i="3"/>
  <c r="B247" i="3"/>
  <c r="S246" i="3"/>
  <c r="J243" i="2" s="1"/>
  <c r="Q246" i="3"/>
  <c r="L246" i="3"/>
  <c r="K246" i="3"/>
  <c r="I246" i="3"/>
  <c r="P246" i="3"/>
  <c r="N246" i="3"/>
  <c r="H246" i="3"/>
  <c r="F246" i="3"/>
  <c r="D246" i="3"/>
  <c r="B246" i="3"/>
  <c r="S245" i="3"/>
  <c r="J242" i="2" s="1"/>
  <c r="Q245" i="3"/>
  <c r="L245" i="3"/>
  <c r="K245" i="3"/>
  <c r="I245" i="3"/>
  <c r="P245" i="3"/>
  <c r="N245" i="3"/>
  <c r="H245" i="3"/>
  <c r="F245" i="3"/>
  <c r="D245" i="3"/>
  <c r="B245" i="3"/>
  <c r="S244" i="3"/>
  <c r="J241" i="2" s="1"/>
  <c r="Q244" i="3"/>
  <c r="L244" i="3"/>
  <c r="K244" i="3"/>
  <c r="I244" i="3"/>
  <c r="P244" i="3"/>
  <c r="N244" i="3"/>
  <c r="H244" i="3"/>
  <c r="F244" i="3"/>
  <c r="D244" i="3"/>
  <c r="B244" i="3"/>
  <c r="S243" i="3"/>
  <c r="J240" i="2" s="1"/>
  <c r="Q243" i="3"/>
  <c r="L243" i="3"/>
  <c r="K243" i="3"/>
  <c r="I243" i="3"/>
  <c r="P243" i="3"/>
  <c r="N243" i="3"/>
  <c r="H243" i="3"/>
  <c r="F243" i="3"/>
  <c r="D243" i="3"/>
  <c r="B243" i="3"/>
  <c r="S242" i="3"/>
  <c r="J239" i="2" s="1"/>
  <c r="Q242" i="3"/>
  <c r="L242" i="3"/>
  <c r="K242" i="3"/>
  <c r="I242" i="3"/>
  <c r="P242" i="3"/>
  <c r="N242" i="3"/>
  <c r="H242" i="3"/>
  <c r="F242" i="3"/>
  <c r="D242" i="3"/>
  <c r="B242" i="3"/>
  <c r="S241" i="3"/>
  <c r="J238" i="2" s="1"/>
  <c r="Q241" i="3"/>
  <c r="L241" i="3"/>
  <c r="K241" i="3"/>
  <c r="I241" i="3"/>
  <c r="P241" i="3"/>
  <c r="N241" i="3"/>
  <c r="H241" i="3"/>
  <c r="F241" i="3"/>
  <c r="D241" i="3"/>
  <c r="B241" i="3"/>
  <c r="S240" i="3"/>
  <c r="J237" i="2" s="1"/>
  <c r="Q240" i="3"/>
  <c r="L240" i="3"/>
  <c r="K240" i="3"/>
  <c r="I240" i="3"/>
  <c r="P240" i="3"/>
  <c r="N240" i="3"/>
  <c r="H240" i="3"/>
  <c r="F240" i="3"/>
  <c r="D240" i="3"/>
  <c r="B240" i="3"/>
  <c r="S239" i="3"/>
  <c r="J236" i="2" s="1"/>
  <c r="Q239" i="3"/>
  <c r="L239" i="3"/>
  <c r="K239" i="3"/>
  <c r="I239" i="3"/>
  <c r="P239" i="3"/>
  <c r="N239" i="3"/>
  <c r="H239" i="3"/>
  <c r="F239" i="3"/>
  <c r="D239" i="3"/>
  <c r="B239" i="3"/>
  <c r="S238" i="3"/>
  <c r="J235" i="2" s="1"/>
  <c r="Q238" i="3"/>
  <c r="L238" i="3"/>
  <c r="K238" i="3"/>
  <c r="I238" i="3"/>
  <c r="P238" i="3"/>
  <c r="N238" i="3"/>
  <c r="H238" i="3"/>
  <c r="F238" i="3"/>
  <c r="D238" i="3"/>
  <c r="B238" i="3"/>
  <c r="S237" i="3"/>
  <c r="J234" i="2" s="1"/>
  <c r="Q237" i="3"/>
  <c r="L237" i="3"/>
  <c r="K237" i="3"/>
  <c r="I237" i="3"/>
  <c r="P237" i="3"/>
  <c r="N237" i="3"/>
  <c r="H237" i="3"/>
  <c r="F237" i="3"/>
  <c r="D237" i="3"/>
  <c r="B237" i="3"/>
  <c r="S236" i="3"/>
  <c r="J233" i="2" s="1"/>
  <c r="Q236" i="3"/>
  <c r="L236" i="3"/>
  <c r="K236" i="3"/>
  <c r="I236" i="3"/>
  <c r="P236" i="3"/>
  <c r="N236" i="3"/>
  <c r="H236" i="3"/>
  <c r="F236" i="3"/>
  <c r="D236" i="3"/>
  <c r="B236" i="3"/>
  <c r="S235" i="3"/>
  <c r="J232" i="2" s="1"/>
  <c r="Q235" i="3"/>
  <c r="L235" i="3"/>
  <c r="K235" i="3"/>
  <c r="I235" i="3"/>
  <c r="P235" i="3"/>
  <c r="N235" i="3"/>
  <c r="H235" i="3"/>
  <c r="F235" i="3"/>
  <c r="D235" i="3"/>
  <c r="B235" i="3"/>
  <c r="S234" i="3"/>
  <c r="J231" i="2" s="1"/>
  <c r="Q234" i="3"/>
  <c r="L234" i="3"/>
  <c r="K234" i="3"/>
  <c r="I234" i="3"/>
  <c r="P234" i="3"/>
  <c r="N234" i="3"/>
  <c r="H234" i="3"/>
  <c r="F234" i="3"/>
  <c r="D234" i="3"/>
  <c r="B234" i="3"/>
  <c r="S233" i="3"/>
  <c r="J230" i="2" s="1"/>
  <c r="Q233" i="3"/>
  <c r="L233" i="3"/>
  <c r="K233" i="3"/>
  <c r="I233" i="3"/>
  <c r="P233" i="3"/>
  <c r="N233" i="3"/>
  <c r="H233" i="3"/>
  <c r="F233" i="3"/>
  <c r="D233" i="3"/>
  <c r="B233" i="3"/>
  <c r="S232" i="3"/>
  <c r="J229" i="2" s="1"/>
  <c r="Q232" i="3"/>
  <c r="L232" i="3"/>
  <c r="K232" i="3"/>
  <c r="I232" i="3"/>
  <c r="P232" i="3"/>
  <c r="N232" i="3"/>
  <c r="H232" i="3"/>
  <c r="F232" i="3"/>
  <c r="D232" i="3"/>
  <c r="B232" i="3"/>
  <c r="S231" i="3"/>
  <c r="J228" i="2" s="1"/>
  <c r="Q231" i="3"/>
  <c r="L231" i="3"/>
  <c r="K231" i="3"/>
  <c r="I231" i="3"/>
  <c r="P231" i="3"/>
  <c r="N231" i="3"/>
  <c r="H231" i="3"/>
  <c r="F231" i="3"/>
  <c r="D231" i="3"/>
  <c r="B231" i="3"/>
  <c r="S230" i="3"/>
  <c r="J227" i="2" s="1"/>
  <c r="Q230" i="3"/>
  <c r="L230" i="3"/>
  <c r="K230" i="3"/>
  <c r="I230" i="3"/>
  <c r="P230" i="3"/>
  <c r="N230" i="3"/>
  <c r="H230" i="3"/>
  <c r="F230" i="3"/>
  <c r="D230" i="3"/>
  <c r="B230" i="3"/>
  <c r="S229" i="3"/>
  <c r="J226" i="2" s="1"/>
  <c r="Q229" i="3"/>
  <c r="L229" i="3"/>
  <c r="K229" i="3"/>
  <c r="I229" i="3"/>
  <c r="P229" i="3"/>
  <c r="N229" i="3"/>
  <c r="H229" i="3"/>
  <c r="F229" i="3"/>
  <c r="D229" i="3"/>
  <c r="B229" i="3"/>
  <c r="S228" i="3"/>
  <c r="J225" i="2" s="1"/>
  <c r="Q228" i="3"/>
  <c r="L228" i="3"/>
  <c r="K228" i="3"/>
  <c r="I228" i="3"/>
  <c r="P228" i="3"/>
  <c r="N228" i="3"/>
  <c r="H228" i="3"/>
  <c r="F228" i="3"/>
  <c r="D228" i="3"/>
  <c r="B228" i="3"/>
  <c r="S227" i="3"/>
  <c r="J224" i="2" s="1"/>
  <c r="Q227" i="3"/>
  <c r="L227" i="3"/>
  <c r="K227" i="3"/>
  <c r="I227" i="3"/>
  <c r="P227" i="3"/>
  <c r="N227" i="3"/>
  <c r="H227" i="3"/>
  <c r="F227" i="3"/>
  <c r="D227" i="3"/>
  <c r="B227" i="3"/>
  <c r="S226" i="3"/>
  <c r="J223" i="2" s="1"/>
  <c r="Q226" i="3"/>
  <c r="L226" i="3"/>
  <c r="K226" i="3"/>
  <c r="I226" i="3"/>
  <c r="P226" i="3"/>
  <c r="N226" i="3"/>
  <c r="H226" i="3"/>
  <c r="F226" i="3"/>
  <c r="D226" i="3"/>
  <c r="B226" i="3"/>
  <c r="S225" i="3"/>
  <c r="J222" i="2" s="1"/>
  <c r="Q225" i="3"/>
  <c r="L225" i="3"/>
  <c r="K225" i="3"/>
  <c r="I225" i="3"/>
  <c r="P225" i="3"/>
  <c r="N225" i="3"/>
  <c r="H225" i="3"/>
  <c r="F225" i="3"/>
  <c r="D225" i="3"/>
  <c r="B225" i="3"/>
  <c r="S224" i="3"/>
  <c r="J221" i="2" s="1"/>
  <c r="Q224" i="3"/>
  <c r="L224" i="3"/>
  <c r="K224" i="3"/>
  <c r="I224" i="3"/>
  <c r="P224" i="3"/>
  <c r="N224" i="3"/>
  <c r="H224" i="3"/>
  <c r="F224" i="3"/>
  <c r="D224" i="3"/>
  <c r="B224" i="3"/>
  <c r="S223" i="3"/>
  <c r="J220" i="2" s="1"/>
  <c r="Q223" i="3"/>
  <c r="L223" i="3"/>
  <c r="K223" i="3"/>
  <c r="I223" i="3"/>
  <c r="P223" i="3"/>
  <c r="N223" i="3"/>
  <c r="H223" i="3"/>
  <c r="F223" i="3"/>
  <c r="D223" i="3"/>
  <c r="B223" i="3"/>
  <c r="S222" i="3"/>
  <c r="J219" i="2" s="1"/>
  <c r="Q222" i="3"/>
  <c r="L222" i="3"/>
  <c r="K222" i="3"/>
  <c r="I222" i="3"/>
  <c r="P222" i="3"/>
  <c r="N222" i="3"/>
  <c r="H222" i="3"/>
  <c r="F222" i="3"/>
  <c r="D222" i="3"/>
  <c r="B222" i="3"/>
  <c r="S221" i="3"/>
  <c r="J218" i="2" s="1"/>
  <c r="Q221" i="3"/>
  <c r="L221" i="3"/>
  <c r="K221" i="3"/>
  <c r="I221" i="3"/>
  <c r="P221" i="3"/>
  <c r="N221" i="3"/>
  <c r="H221" i="3"/>
  <c r="F221" i="3"/>
  <c r="D221" i="3"/>
  <c r="B221" i="3"/>
  <c r="S220" i="3"/>
  <c r="J217" i="2" s="1"/>
  <c r="Q220" i="3"/>
  <c r="L220" i="3"/>
  <c r="K220" i="3"/>
  <c r="I220" i="3"/>
  <c r="P220" i="3"/>
  <c r="N220" i="3"/>
  <c r="H220" i="3"/>
  <c r="F220" i="3"/>
  <c r="D220" i="3"/>
  <c r="B220" i="3"/>
  <c r="S219" i="3"/>
  <c r="J216" i="2" s="1"/>
  <c r="Q219" i="3"/>
  <c r="L219" i="3"/>
  <c r="K219" i="3"/>
  <c r="I219" i="3"/>
  <c r="P219" i="3"/>
  <c r="N219" i="3"/>
  <c r="H219" i="3"/>
  <c r="F219" i="3"/>
  <c r="D219" i="3"/>
  <c r="B219" i="3"/>
  <c r="S218" i="3"/>
  <c r="J215" i="2" s="1"/>
  <c r="Q218" i="3"/>
  <c r="L218" i="3"/>
  <c r="K218" i="3"/>
  <c r="I218" i="3"/>
  <c r="P218" i="3"/>
  <c r="N218" i="3"/>
  <c r="H218" i="3"/>
  <c r="F218" i="3"/>
  <c r="D218" i="3"/>
  <c r="B218" i="3"/>
  <c r="S217" i="3"/>
  <c r="J214" i="2" s="1"/>
  <c r="Q217" i="3"/>
  <c r="L217" i="3"/>
  <c r="K217" i="3"/>
  <c r="I217" i="3"/>
  <c r="P217" i="3"/>
  <c r="N217" i="3"/>
  <c r="H217" i="3"/>
  <c r="F217" i="3"/>
  <c r="D217" i="3"/>
  <c r="B217" i="3"/>
  <c r="S216" i="3"/>
  <c r="J213" i="2" s="1"/>
  <c r="Q216" i="3"/>
  <c r="L216" i="3"/>
  <c r="K216" i="3"/>
  <c r="I216" i="3"/>
  <c r="P216" i="3"/>
  <c r="N216" i="3"/>
  <c r="H216" i="3"/>
  <c r="F216" i="3"/>
  <c r="D216" i="3"/>
  <c r="B216" i="3"/>
  <c r="S215" i="3"/>
  <c r="J212" i="2" s="1"/>
  <c r="Q215" i="3"/>
  <c r="L215" i="3"/>
  <c r="K215" i="3"/>
  <c r="I215" i="3"/>
  <c r="P215" i="3"/>
  <c r="N215" i="3"/>
  <c r="H215" i="3"/>
  <c r="F215" i="3"/>
  <c r="D215" i="3"/>
  <c r="B215" i="3"/>
  <c r="S214" i="3"/>
  <c r="J211" i="2" s="1"/>
  <c r="Q214" i="3"/>
  <c r="L214" i="3"/>
  <c r="K214" i="3"/>
  <c r="I214" i="3"/>
  <c r="P214" i="3"/>
  <c r="N214" i="3"/>
  <c r="H214" i="3"/>
  <c r="F214" i="3"/>
  <c r="D214" i="3"/>
  <c r="B214" i="3"/>
  <c r="S213" i="3"/>
  <c r="J210" i="2" s="1"/>
  <c r="Q213" i="3"/>
  <c r="L213" i="3"/>
  <c r="K213" i="3"/>
  <c r="I213" i="3"/>
  <c r="P213" i="3"/>
  <c r="N213" i="3"/>
  <c r="H213" i="3"/>
  <c r="F213" i="3"/>
  <c r="D213" i="3"/>
  <c r="B213" i="3"/>
  <c r="S212" i="3"/>
  <c r="J209" i="2" s="1"/>
  <c r="Q212" i="3"/>
  <c r="L212" i="3"/>
  <c r="K212" i="3"/>
  <c r="I212" i="3"/>
  <c r="P212" i="3"/>
  <c r="N212" i="3"/>
  <c r="H212" i="3"/>
  <c r="F212" i="3"/>
  <c r="D212" i="3"/>
  <c r="B212" i="3"/>
  <c r="S211" i="3"/>
  <c r="J208" i="2" s="1"/>
  <c r="Q211" i="3"/>
  <c r="L211" i="3"/>
  <c r="K211" i="3"/>
  <c r="I211" i="3"/>
  <c r="P211" i="3"/>
  <c r="N211" i="3"/>
  <c r="H211" i="3"/>
  <c r="F211" i="3"/>
  <c r="D211" i="3"/>
  <c r="B211" i="3"/>
  <c r="S210" i="3"/>
  <c r="J207" i="2" s="1"/>
  <c r="Q210" i="3"/>
  <c r="L210" i="3"/>
  <c r="K210" i="3"/>
  <c r="I210" i="3"/>
  <c r="P210" i="3"/>
  <c r="N210" i="3"/>
  <c r="H210" i="3"/>
  <c r="F210" i="3"/>
  <c r="D210" i="3"/>
  <c r="B210" i="3"/>
  <c r="S209" i="3"/>
  <c r="J206" i="2" s="1"/>
  <c r="Q209" i="3"/>
  <c r="L209" i="3"/>
  <c r="K209" i="3"/>
  <c r="I209" i="3"/>
  <c r="P209" i="3"/>
  <c r="N209" i="3"/>
  <c r="H209" i="3"/>
  <c r="F209" i="3"/>
  <c r="D209" i="3"/>
  <c r="B209" i="3"/>
  <c r="S208" i="3"/>
  <c r="J205" i="2" s="1"/>
  <c r="Q208" i="3"/>
  <c r="L208" i="3"/>
  <c r="K208" i="3"/>
  <c r="I208" i="3"/>
  <c r="P208" i="3"/>
  <c r="N208" i="3"/>
  <c r="H208" i="3"/>
  <c r="F208" i="3"/>
  <c r="D208" i="3"/>
  <c r="B208" i="3"/>
  <c r="S207" i="3"/>
  <c r="J204" i="2" s="1"/>
  <c r="Q207" i="3"/>
  <c r="L207" i="3"/>
  <c r="K207" i="3"/>
  <c r="I207" i="3"/>
  <c r="P207" i="3"/>
  <c r="N207" i="3"/>
  <c r="H207" i="3"/>
  <c r="F207" i="3"/>
  <c r="D207" i="3"/>
  <c r="B207" i="3"/>
  <c r="S206" i="3"/>
  <c r="J203" i="2" s="1"/>
  <c r="Q206" i="3"/>
  <c r="L206" i="3"/>
  <c r="K206" i="3"/>
  <c r="I206" i="3"/>
  <c r="P206" i="3"/>
  <c r="N206" i="3"/>
  <c r="H206" i="3"/>
  <c r="F206" i="3"/>
  <c r="D206" i="3"/>
  <c r="B206" i="3"/>
  <c r="S205" i="3"/>
  <c r="J202" i="2" s="1"/>
  <c r="Q205" i="3"/>
  <c r="L205" i="3"/>
  <c r="K205" i="3"/>
  <c r="I205" i="3"/>
  <c r="P205" i="3"/>
  <c r="N205" i="3"/>
  <c r="H205" i="3"/>
  <c r="F205" i="3"/>
  <c r="D205" i="3"/>
  <c r="B205" i="3"/>
  <c r="S204" i="3"/>
  <c r="J201" i="2" s="1"/>
  <c r="Q204" i="3"/>
  <c r="L204" i="3"/>
  <c r="K204" i="3"/>
  <c r="I204" i="3"/>
  <c r="P204" i="3"/>
  <c r="N204" i="3"/>
  <c r="H204" i="3"/>
  <c r="F204" i="3"/>
  <c r="D204" i="3"/>
  <c r="B204" i="3"/>
  <c r="S203" i="3"/>
  <c r="J200" i="2" s="1"/>
  <c r="Q203" i="3"/>
  <c r="L203" i="3"/>
  <c r="K203" i="3"/>
  <c r="I203" i="3"/>
  <c r="P203" i="3"/>
  <c r="N203" i="3"/>
  <c r="H203" i="3"/>
  <c r="F203" i="3"/>
  <c r="D203" i="3"/>
  <c r="B203" i="3"/>
  <c r="S202" i="3"/>
  <c r="J199" i="2" s="1"/>
  <c r="Q202" i="3"/>
  <c r="L202" i="3"/>
  <c r="K202" i="3"/>
  <c r="I202" i="3"/>
  <c r="P202" i="3"/>
  <c r="N202" i="3"/>
  <c r="H202" i="3"/>
  <c r="F202" i="3"/>
  <c r="D202" i="3"/>
  <c r="B202" i="3"/>
  <c r="S201" i="3"/>
  <c r="J198" i="2" s="1"/>
  <c r="Q201" i="3"/>
  <c r="L201" i="3"/>
  <c r="K201" i="3"/>
  <c r="I201" i="3"/>
  <c r="P201" i="3"/>
  <c r="N201" i="3"/>
  <c r="H201" i="3"/>
  <c r="F201" i="3"/>
  <c r="D201" i="3"/>
  <c r="B201" i="3"/>
  <c r="S200" i="3"/>
  <c r="J197" i="2" s="1"/>
  <c r="Q200" i="3"/>
  <c r="L200" i="3"/>
  <c r="K200" i="3"/>
  <c r="I200" i="3"/>
  <c r="P200" i="3"/>
  <c r="N200" i="3"/>
  <c r="H200" i="3"/>
  <c r="F200" i="3"/>
  <c r="D200" i="3"/>
  <c r="B200" i="3"/>
  <c r="S199" i="3"/>
  <c r="J196" i="2" s="1"/>
  <c r="Q199" i="3"/>
  <c r="L199" i="3"/>
  <c r="K199" i="3"/>
  <c r="I199" i="3"/>
  <c r="P199" i="3"/>
  <c r="N199" i="3"/>
  <c r="H199" i="3"/>
  <c r="F199" i="3"/>
  <c r="D199" i="3"/>
  <c r="B199" i="3"/>
  <c r="S198" i="3"/>
  <c r="J195" i="2" s="1"/>
  <c r="Q198" i="3"/>
  <c r="L198" i="3"/>
  <c r="K198" i="3"/>
  <c r="I198" i="3"/>
  <c r="P198" i="3"/>
  <c r="N198" i="3"/>
  <c r="H198" i="3"/>
  <c r="F198" i="3"/>
  <c r="D198" i="3"/>
  <c r="B198" i="3"/>
  <c r="S197" i="3"/>
  <c r="J194" i="2" s="1"/>
  <c r="Q197" i="3"/>
  <c r="L197" i="3"/>
  <c r="K197" i="3"/>
  <c r="I197" i="3"/>
  <c r="P197" i="3"/>
  <c r="N197" i="3"/>
  <c r="H197" i="3"/>
  <c r="F197" i="3"/>
  <c r="D197" i="3"/>
  <c r="B197" i="3"/>
  <c r="S196" i="3"/>
  <c r="J193" i="2" s="1"/>
  <c r="Q196" i="3"/>
  <c r="L196" i="3"/>
  <c r="K196" i="3"/>
  <c r="I196" i="3"/>
  <c r="P196" i="3"/>
  <c r="N196" i="3"/>
  <c r="H196" i="3"/>
  <c r="F196" i="3"/>
  <c r="D196" i="3"/>
  <c r="B196" i="3"/>
  <c r="S195" i="3"/>
  <c r="J192" i="2" s="1"/>
  <c r="Q195" i="3"/>
  <c r="L195" i="3"/>
  <c r="K195" i="3"/>
  <c r="I195" i="3"/>
  <c r="P195" i="3"/>
  <c r="N195" i="3"/>
  <c r="H195" i="3"/>
  <c r="F195" i="3"/>
  <c r="D195" i="3"/>
  <c r="B195" i="3"/>
  <c r="S194" i="3"/>
  <c r="J191" i="2" s="1"/>
  <c r="Q194" i="3"/>
  <c r="L194" i="3"/>
  <c r="K194" i="3"/>
  <c r="I194" i="3"/>
  <c r="P194" i="3"/>
  <c r="N194" i="3"/>
  <c r="H194" i="3"/>
  <c r="F194" i="3"/>
  <c r="D194" i="3"/>
  <c r="B194" i="3"/>
  <c r="S193" i="3"/>
  <c r="J190" i="2" s="1"/>
  <c r="Q193" i="3"/>
  <c r="L193" i="3"/>
  <c r="K193" i="3"/>
  <c r="I193" i="3"/>
  <c r="P193" i="3"/>
  <c r="N193" i="3"/>
  <c r="H193" i="3"/>
  <c r="F193" i="3"/>
  <c r="D193" i="3"/>
  <c r="B193" i="3"/>
  <c r="S192" i="3"/>
  <c r="J189" i="2" s="1"/>
  <c r="Q192" i="3"/>
  <c r="L192" i="3"/>
  <c r="K192" i="3"/>
  <c r="I192" i="3"/>
  <c r="P192" i="3"/>
  <c r="N192" i="3"/>
  <c r="H192" i="3"/>
  <c r="F192" i="3"/>
  <c r="D192" i="3"/>
  <c r="B192" i="3"/>
  <c r="S191" i="3"/>
  <c r="J188" i="2" s="1"/>
  <c r="Q191" i="3"/>
  <c r="L191" i="3"/>
  <c r="K191" i="3"/>
  <c r="I191" i="3"/>
  <c r="P191" i="3"/>
  <c r="N191" i="3"/>
  <c r="H191" i="3"/>
  <c r="F191" i="3"/>
  <c r="D191" i="3"/>
  <c r="B191" i="3"/>
  <c r="S190" i="3"/>
  <c r="J187" i="2" s="1"/>
  <c r="Q190" i="3"/>
  <c r="L190" i="3"/>
  <c r="K190" i="3"/>
  <c r="I190" i="3"/>
  <c r="P190" i="3"/>
  <c r="N190" i="3"/>
  <c r="H190" i="3"/>
  <c r="F190" i="3"/>
  <c r="D190" i="3"/>
  <c r="B190" i="3"/>
  <c r="S189" i="3"/>
  <c r="J186" i="2" s="1"/>
  <c r="Q189" i="3"/>
  <c r="L189" i="3"/>
  <c r="K189" i="3"/>
  <c r="I189" i="3"/>
  <c r="P189" i="3"/>
  <c r="N189" i="3"/>
  <c r="H189" i="3"/>
  <c r="F189" i="3"/>
  <c r="D189" i="3"/>
  <c r="B189" i="3"/>
  <c r="S188" i="3"/>
  <c r="J185" i="2" s="1"/>
  <c r="Q188" i="3"/>
  <c r="L188" i="3"/>
  <c r="K188" i="3"/>
  <c r="I188" i="3"/>
  <c r="P188" i="3"/>
  <c r="N188" i="3"/>
  <c r="H188" i="3"/>
  <c r="F188" i="3"/>
  <c r="D188" i="3"/>
  <c r="B188" i="3"/>
  <c r="S187" i="3"/>
  <c r="J184" i="2" s="1"/>
  <c r="Q187" i="3"/>
  <c r="L187" i="3"/>
  <c r="K187" i="3"/>
  <c r="I187" i="3"/>
  <c r="P187" i="3"/>
  <c r="N187" i="3"/>
  <c r="H187" i="3"/>
  <c r="F187" i="3"/>
  <c r="D187" i="3"/>
  <c r="B187" i="3"/>
  <c r="S186" i="3"/>
  <c r="J183" i="2" s="1"/>
  <c r="Q186" i="3"/>
  <c r="L186" i="3"/>
  <c r="K186" i="3"/>
  <c r="I186" i="3"/>
  <c r="P186" i="3"/>
  <c r="N186" i="3"/>
  <c r="H186" i="3"/>
  <c r="F186" i="3"/>
  <c r="D186" i="3"/>
  <c r="B186" i="3"/>
  <c r="S185" i="3"/>
  <c r="J182" i="2" s="1"/>
  <c r="Q185" i="3"/>
  <c r="L185" i="3"/>
  <c r="K185" i="3"/>
  <c r="I185" i="3"/>
  <c r="P185" i="3"/>
  <c r="N185" i="3"/>
  <c r="H185" i="3"/>
  <c r="F185" i="3"/>
  <c r="D185" i="3"/>
  <c r="B185" i="3"/>
  <c r="S184" i="3"/>
  <c r="J181" i="2" s="1"/>
  <c r="Q184" i="3"/>
  <c r="L184" i="3"/>
  <c r="K184" i="3"/>
  <c r="I184" i="3"/>
  <c r="P184" i="3"/>
  <c r="N184" i="3"/>
  <c r="H184" i="3"/>
  <c r="F184" i="3"/>
  <c r="D184" i="3"/>
  <c r="B184" i="3"/>
  <c r="S183" i="3"/>
  <c r="J180" i="2" s="1"/>
  <c r="Q183" i="3"/>
  <c r="L183" i="3"/>
  <c r="K183" i="3"/>
  <c r="I183" i="3"/>
  <c r="P183" i="3"/>
  <c r="N183" i="3"/>
  <c r="H183" i="3"/>
  <c r="F183" i="3"/>
  <c r="D183" i="3"/>
  <c r="B183" i="3"/>
  <c r="S182" i="3"/>
  <c r="J179" i="2" s="1"/>
  <c r="Q182" i="3"/>
  <c r="L182" i="3"/>
  <c r="K182" i="3"/>
  <c r="I182" i="3"/>
  <c r="P182" i="3"/>
  <c r="N182" i="3"/>
  <c r="H182" i="3"/>
  <c r="F182" i="3"/>
  <c r="D182" i="3"/>
  <c r="B182" i="3"/>
  <c r="S181" i="3"/>
  <c r="J178" i="2" s="1"/>
  <c r="Q181" i="3"/>
  <c r="L181" i="3"/>
  <c r="K181" i="3"/>
  <c r="I181" i="3"/>
  <c r="P181" i="3"/>
  <c r="N181" i="3"/>
  <c r="H181" i="3"/>
  <c r="F181" i="3"/>
  <c r="D181" i="3"/>
  <c r="B181" i="3"/>
  <c r="S180" i="3"/>
  <c r="J177" i="2" s="1"/>
  <c r="Q180" i="3"/>
  <c r="L180" i="3"/>
  <c r="K180" i="3"/>
  <c r="I180" i="3"/>
  <c r="P180" i="3"/>
  <c r="N180" i="3"/>
  <c r="H180" i="3"/>
  <c r="F180" i="3"/>
  <c r="D180" i="3"/>
  <c r="B180" i="3"/>
  <c r="S179" i="3"/>
  <c r="J176" i="2" s="1"/>
  <c r="Q179" i="3"/>
  <c r="L179" i="3"/>
  <c r="K179" i="3"/>
  <c r="I179" i="3"/>
  <c r="P179" i="3"/>
  <c r="N179" i="3"/>
  <c r="H179" i="3"/>
  <c r="F179" i="3"/>
  <c r="D179" i="3"/>
  <c r="B179" i="3"/>
  <c r="S178" i="3"/>
  <c r="J175" i="2" s="1"/>
  <c r="Q178" i="3"/>
  <c r="L178" i="3"/>
  <c r="K178" i="3"/>
  <c r="I178" i="3"/>
  <c r="P178" i="3"/>
  <c r="N178" i="3"/>
  <c r="H178" i="3"/>
  <c r="F178" i="3"/>
  <c r="D178" i="3"/>
  <c r="B178" i="3"/>
  <c r="S177" i="3"/>
  <c r="J174" i="2" s="1"/>
  <c r="Q177" i="3"/>
  <c r="L177" i="3"/>
  <c r="K177" i="3"/>
  <c r="I177" i="3"/>
  <c r="P177" i="3"/>
  <c r="N177" i="3"/>
  <c r="H177" i="3"/>
  <c r="F177" i="3"/>
  <c r="D177" i="3"/>
  <c r="B177" i="3"/>
  <c r="S176" i="3"/>
  <c r="J173" i="2" s="1"/>
  <c r="Q176" i="3"/>
  <c r="L176" i="3"/>
  <c r="K176" i="3"/>
  <c r="I176" i="3"/>
  <c r="P176" i="3"/>
  <c r="N176" i="3"/>
  <c r="H176" i="3"/>
  <c r="F176" i="3"/>
  <c r="D176" i="3"/>
  <c r="B176" i="3"/>
  <c r="S175" i="3"/>
  <c r="J172" i="2" s="1"/>
  <c r="Q175" i="3"/>
  <c r="L175" i="3"/>
  <c r="K175" i="3"/>
  <c r="I175" i="3"/>
  <c r="P175" i="3"/>
  <c r="N175" i="3"/>
  <c r="H175" i="3"/>
  <c r="F175" i="3"/>
  <c r="D175" i="3"/>
  <c r="B175" i="3"/>
  <c r="S174" i="3"/>
  <c r="J171" i="2" s="1"/>
  <c r="Q174" i="3"/>
  <c r="L174" i="3"/>
  <c r="K174" i="3"/>
  <c r="I174" i="3"/>
  <c r="P174" i="3"/>
  <c r="N174" i="3"/>
  <c r="H174" i="3"/>
  <c r="F174" i="3"/>
  <c r="D174" i="3"/>
  <c r="B174" i="3"/>
  <c r="S173" i="3"/>
  <c r="J170" i="2" s="1"/>
  <c r="Q173" i="3"/>
  <c r="L173" i="3"/>
  <c r="K173" i="3"/>
  <c r="I173" i="3"/>
  <c r="P173" i="3"/>
  <c r="N173" i="3"/>
  <c r="H173" i="3"/>
  <c r="F173" i="3"/>
  <c r="D173" i="3"/>
  <c r="B173" i="3"/>
  <c r="S172" i="3"/>
  <c r="J169" i="2" s="1"/>
  <c r="Q172" i="3"/>
  <c r="L172" i="3"/>
  <c r="K172" i="3"/>
  <c r="I172" i="3"/>
  <c r="P172" i="3"/>
  <c r="N172" i="3"/>
  <c r="H172" i="3"/>
  <c r="F172" i="3"/>
  <c r="D172" i="3"/>
  <c r="B172" i="3"/>
  <c r="S171" i="3"/>
  <c r="J168" i="2" s="1"/>
  <c r="Q171" i="3"/>
  <c r="L171" i="3"/>
  <c r="K171" i="3"/>
  <c r="I171" i="3"/>
  <c r="P171" i="3"/>
  <c r="N171" i="3"/>
  <c r="H171" i="3"/>
  <c r="F171" i="3"/>
  <c r="D171" i="3"/>
  <c r="B171" i="3"/>
  <c r="S170" i="3"/>
  <c r="J167" i="2" s="1"/>
  <c r="Q170" i="3"/>
  <c r="L170" i="3"/>
  <c r="K170" i="3"/>
  <c r="I170" i="3"/>
  <c r="P170" i="3"/>
  <c r="N170" i="3"/>
  <c r="H170" i="3"/>
  <c r="F170" i="3"/>
  <c r="D170" i="3"/>
  <c r="B170" i="3"/>
  <c r="S169" i="3"/>
  <c r="J166" i="2" s="1"/>
  <c r="Q169" i="3"/>
  <c r="L169" i="3"/>
  <c r="K169" i="3"/>
  <c r="I169" i="3"/>
  <c r="P169" i="3"/>
  <c r="N169" i="3"/>
  <c r="H169" i="3"/>
  <c r="F169" i="3"/>
  <c r="D169" i="3"/>
  <c r="B169" i="3"/>
  <c r="S168" i="3"/>
  <c r="J165" i="2" s="1"/>
  <c r="Q168" i="3"/>
  <c r="L168" i="3"/>
  <c r="K168" i="3"/>
  <c r="I168" i="3"/>
  <c r="P168" i="3"/>
  <c r="N168" i="3"/>
  <c r="H168" i="3"/>
  <c r="F168" i="3"/>
  <c r="D168" i="3"/>
  <c r="B168" i="3"/>
  <c r="S167" i="3"/>
  <c r="J164" i="2" s="1"/>
  <c r="Q167" i="3"/>
  <c r="L167" i="3"/>
  <c r="K167" i="3"/>
  <c r="I167" i="3"/>
  <c r="P167" i="3"/>
  <c r="N167" i="3"/>
  <c r="H167" i="3"/>
  <c r="F167" i="3"/>
  <c r="D167" i="3"/>
  <c r="B167" i="3"/>
  <c r="S166" i="3"/>
  <c r="J163" i="2" s="1"/>
  <c r="Q166" i="3"/>
  <c r="L166" i="3"/>
  <c r="K166" i="3"/>
  <c r="I166" i="3"/>
  <c r="P166" i="3"/>
  <c r="N166" i="3"/>
  <c r="H166" i="3"/>
  <c r="F166" i="3"/>
  <c r="D166" i="3"/>
  <c r="B166" i="3"/>
  <c r="S165" i="3"/>
  <c r="J162" i="2" s="1"/>
  <c r="Q165" i="3"/>
  <c r="L165" i="3"/>
  <c r="K165" i="3"/>
  <c r="I165" i="3"/>
  <c r="P165" i="3"/>
  <c r="N165" i="3"/>
  <c r="H165" i="3"/>
  <c r="F165" i="3"/>
  <c r="D165" i="3"/>
  <c r="B165" i="3"/>
  <c r="S164" i="3"/>
  <c r="J161" i="2" s="1"/>
  <c r="Q164" i="3"/>
  <c r="L164" i="3"/>
  <c r="K164" i="3"/>
  <c r="I164" i="3"/>
  <c r="P164" i="3"/>
  <c r="N164" i="3"/>
  <c r="H164" i="3"/>
  <c r="F164" i="3"/>
  <c r="D164" i="3"/>
  <c r="B164" i="3"/>
  <c r="S163" i="3"/>
  <c r="J160" i="2" s="1"/>
  <c r="Q163" i="3"/>
  <c r="L163" i="3"/>
  <c r="K163" i="3"/>
  <c r="I163" i="3"/>
  <c r="P163" i="3"/>
  <c r="N163" i="3"/>
  <c r="H163" i="3"/>
  <c r="F163" i="3"/>
  <c r="D163" i="3"/>
  <c r="B163" i="3"/>
  <c r="S162" i="3"/>
  <c r="J159" i="2" s="1"/>
  <c r="Q162" i="3"/>
  <c r="L162" i="3"/>
  <c r="K162" i="3"/>
  <c r="I162" i="3"/>
  <c r="P162" i="3"/>
  <c r="N162" i="3"/>
  <c r="H162" i="3"/>
  <c r="F162" i="3"/>
  <c r="D162" i="3"/>
  <c r="B162" i="3"/>
  <c r="S161" i="3"/>
  <c r="J158" i="2" s="1"/>
  <c r="Q161" i="3"/>
  <c r="L161" i="3"/>
  <c r="K161" i="3"/>
  <c r="I161" i="3"/>
  <c r="P161" i="3"/>
  <c r="N161" i="3"/>
  <c r="H161" i="3"/>
  <c r="F161" i="3"/>
  <c r="D161" i="3"/>
  <c r="B161" i="3"/>
  <c r="S160" i="3"/>
  <c r="J157" i="2" s="1"/>
  <c r="Q160" i="3"/>
  <c r="L160" i="3"/>
  <c r="K160" i="3"/>
  <c r="I160" i="3"/>
  <c r="P160" i="3"/>
  <c r="N160" i="3"/>
  <c r="H160" i="3"/>
  <c r="F160" i="3"/>
  <c r="D160" i="3"/>
  <c r="B160" i="3"/>
  <c r="S159" i="3"/>
  <c r="J156" i="2" s="1"/>
  <c r="Q159" i="3"/>
  <c r="L159" i="3"/>
  <c r="K159" i="3"/>
  <c r="I159" i="3"/>
  <c r="P159" i="3"/>
  <c r="N159" i="3"/>
  <c r="H159" i="3"/>
  <c r="F159" i="3"/>
  <c r="D159" i="3"/>
  <c r="B159" i="3"/>
  <c r="S158" i="3"/>
  <c r="J155" i="2" s="1"/>
  <c r="Q158" i="3"/>
  <c r="L158" i="3"/>
  <c r="K158" i="3"/>
  <c r="I158" i="3"/>
  <c r="P158" i="3"/>
  <c r="N158" i="3"/>
  <c r="H158" i="3"/>
  <c r="F158" i="3"/>
  <c r="D158" i="3"/>
  <c r="B158" i="3"/>
  <c r="S157" i="3"/>
  <c r="J154" i="2" s="1"/>
  <c r="Q157" i="3"/>
  <c r="L157" i="3"/>
  <c r="K157" i="3"/>
  <c r="I157" i="3"/>
  <c r="P157" i="3"/>
  <c r="N157" i="3"/>
  <c r="H157" i="3"/>
  <c r="F157" i="3"/>
  <c r="D157" i="3"/>
  <c r="B157" i="3"/>
  <c r="S156" i="3"/>
  <c r="J153" i="2" s="1"/>
  <c r="Q156" i="3"/>
  <c r="L156" i="3"/>
  <c r="K156" i="3"/>
  <c r="I156" i="3"/>
  <c r="P156" i="3"/>
  <c r="N156" i="3"/>
  <c r="H156" i="3"/>
  <c r="F156" i="3"/>
  <c r="D156" i="3"/>
  <c r="B156" i="3"/>
  <c r="S155" i="3"/>
  <c r="J152" i="2" s="1"/>
  <c r="Q155" i="3"/>
  <c r="L155" i="3"/>
  <c r="K155" i="3"/>
  <c r="I155" i="3"/>
  <c r="P155" i="3"/>
  <c r="N155" i="3"/>
  <c r="H155" i="3"/>
  <c r="F155" i="3"/>
  <c r="D155" i="3"/>
  <c r="B155" i="3"/>
  <c r="S154" i="3"/>
  <c r="J151" i="2" s="1"/>
  <c r="Q154" i="3"/>
  <c r="L154" i="3"/>
  <c r="K154" i="3"/>
  <c r="I154" i="3"/>
  <c r="P154" i="3"/>
  <c r="N154" i="3"/>
  <c r="H154" i="3"/>
  <c r="F154" i="3"/>
  <c r="D154" i="3"/>
  <c r="B154" i="3"/>
  <c r="S153" i="3"/>
  <c r="J150" i="2" s="1"/>
  <c r="Q153" i="3"/>
  <c r="L153" i="3"/>
  <c r="K153" i="3"/>
  <c r="I153" i="3"/>
  <c r="P153" i="3"/>
  <c r="N153" i="3"/>
  <c r="H153" i="3"/>
  <c r="F153" i="3"/>
  <c r="D153" i="3"/>
  <c r="B153" i="3"/>
  <c r="S152" i="3"/>
  <c r="J149" i="2" s="1"/>
  <c r="Q152" i="3"/>
  <c r="L152" i="3"/>
  <c r="K152" i="3"/>
  <c r="I152" i="3"/>
  <c r="P152" i="3"/>
  <c r="N152" i="3"/>
  <c r="H152" i="3"/>
  <c r="F152" i="3"/>
  <c r="D152" i="3"/>
  <c r="B152" i="3"/>
  <c r="S151" i="3"/>
  <c r="J148" i="2" s="1"/>
  <c r="Q151" i="3"/>
  <c r="L151" i="3"/>
  <c r="K151" i="3"/>
  <c r="I151" i="3"/>
  <c r="P151" i="3"/>
  <c r="N151" i="3"/>
  <c r="H151" i="3"/>
  <c r="F151" i="3"/>
  <c r="D151" i="3"/>
  <c r="B151" i="3"/>
  <c r="S150" i="3"/>
  <c r="J147" i="2" s="1"/>
  <c r="Q150" i="3"/>
  <c r="L150" i="3"/>
  <c r="K150" i="3"/>
  <c r="I150" i="3"/>
  <c r="P150" i="3"/>
  <c r="N150" i="3"/>
  <c r="H150" i="3"/>
  <c r="F150" i="3"/>
  <c r="D150" i="3"/>
  <c r="B150" i="3"/>
  <c r="S149" i="3"/>
  <c r="J146" i="2" s="1"/>
  <c r="Q149" i="3"/>
  <c r="L149" i="3"/>
  <c r="K149" i="3"/>
  <c r="I149" i="3"/>
  <c r="P149" i="3"/>
  <c r="N149" i="3"/>
  <c r="H149" i="3"/>
  <c r="F149" i="3"/>
  <c r="D149" i="3"/>
  <c r="B149" i="3"/>
  <c r="S148" i="3"/>
  <c r="J145" i="2" s="1"/>
  <c r="Q148" i="3"/>
  <c r="L148" i="3"/>
  <c r="K148" i="3"/>
  <c r="I148" i="3"/>
  <c r="P148" i="3"/>
  <c r="N148" i="3"/>
  <c r="H148" i="3"/>
  <c r="F148" i="3"/>
  <c r="D148" i="3"/>
  <c r="B148" i="3"/>
  <c r="S147" i="3"/>
  <c r="J144" i="2" s="1"/>
  <c r="Q147" i="3"/>
  <c r="L147" i="3"/>
  <c r="K147" i="3"/>
  <c r="I147" i="3"/>
  <c r="P147" i="3"/>
  <c r="N147" i="3"/>
  <c r="H147" i="3"/>
  <c r="F147" i="3"/>
  <c r="D147" i="3"/>
  <c r="B147" i="3"/>
  <c r="S146" i="3"/>
  <c r="J143" i="2" s="1"/>
  <c r="Q146" i="3"/>
  <c r="L146" i="3"/>
  <c r="K146" i="3"/>
  <c r="I146" i="3"/>
  <c r="P146" i="3"/>
  <c r="N146" i="3"/>
  <c r="H146" i="3"/>
  <c r="F146" i="3"/>
  <c r="D146" i="3"/>
  <c r="B146" i="3"/>
  <c r="S145" i="3"/>
  <c r="J142" i="2" s="1"/>
  <c r="Q145" i="3"/>
  <c r="L145" i="3"/>
  <c r="K145" i="3"/>
  <c r="I145" i="3"/>
  <c r="P145" i="3"/>
  <c r="N145" i="3"/>
  <c r="H145" i="3"/>
  <c r="F145" i="3"/>
  <c r="D145" i="3"/>
  <c r="B145" i="3"/>
  <c r="S144" i="3"/>
  <c r="J141" i="2" s="1"/>
  <c r="Q144" i="3"/>
  <c r="L144" i="3"/>
  <c r="K144" i="3"/>
  <c r="I144" i="3"/>
  <c r="P144" i="3"/>
  <c r="N144" i="3"/>
  <c r="H144" i="3"/>
  <c r="F144" i="3"/>
  <c r="D144" i="3"/>
  <c r="B144" i="3"/>
  <c r="S143" i="3"/>
  <c r="J140" i="2" s="1"/>
  <c r="Q143" i="3"/>
  <c r="L143" i="3"/>
  <c r="K143" i="3"/>
  <c r="I143" i="3"/>
  <c r="P143" i="3"/>
  <c r="N143" i="3"/>
  <c r="H143" i="3"/>
  <c r="F143" i="3"/>
  <c r="D143" i="3"/>
  <c r="B143" i="3"/>
  <c r="S142" i="3"/>
  <c r="J139" i="2" s="1"/>
  <c r="Q142" i="3"/>
  <c r="L142" i="3"/>
  <c r="K142" i="3"/>
  <c r="I142" i="3"/>
  <c r="P142" i="3"/>
  <c r="N142" i="3"/>
  <c r="H142" i="3"/>
  <c r="F142" i="3"/>
  <c r="D142" i="3"/>
  <c r="B142" i="3"/>
  <c r="S141" i="3"/>
  <c r="J138" i="2" s="1"/>
  <c r="Q141" i="3"/>
  <c r="L141" i="3"/>
  <c r="K141" i="3"/>
  <c r="I141" i="3"/>
  <c r="P141" i="3"/>
  <c r="N141" i="3"/>
  <c r="H141" i="3"/>
  <c r="F141" i="3"/>
  <c r="D141" i="3"/>
  <c r="B141" i="3"/>
  <c r="S140" i="3"/>
  <c r="J137" i="2" s="1"/>
  <c r="Q140" i="3"/>
  <c r="L140" i="3"/>
  <c r="K140" i="3"/>
  <c r="I140" i="3"/>
  <c r="P140" i="3"/>
  <c r="N140" i="3"/>
  <c r="H140" i="3"/>
  <c r="F140" i="3"/>
  <c r="D140" i="3"/>
  <c r="B140" i="3"/>
  <c r="S139" i="3"/>
  <c r="J136" i="2" s="1"/>
  <c r="Q139" i="3"/>
  <c r="L139" i="3"/>
  <c r="K139" i="3"/>
  <c r="I139" i="3"/>
  <c r="P139" i="3"/>
  <c r="N139" i="3"/>
  <c r="H139" i="3"/>
  <c r="F139" i="3"/>
  <c r="D139" i="3"/>
  <c r="B139" i="3"/>
  <c r="S138" i="3"/>
  <c r="J135" i="2" s="1"/>
  <c r="Q138" i="3"/>
  <c r="L138" i="3"/>
  <c r="K138" i="3"/>
  <c r="I138" i="3"/>
  <c r="P138" i="3"/>
  <c r="N138" i="3"/>
  <c r="H138" i="3"/>
  <c r="F138" i="3"/>
  <c r="D138" i="3"/>
  <c r="B138" i="3"/>
  <c r="S137" i="3"/>
  <c r="J134" i="2" s="1"/>
  <c r="Q137" i="3"/>
  <c r="L137" i="3"/>
  <c r="K137" i="3"/>
  <c r="I137" i="3"/>
  <c r="P137" i="3"/>
  <c r="N137" i="3"/>
  <c r="H137" i="3"/>
  <c r="F137" i="3"/>
  <c r="D137" i="3"/>
  <c r="B137" i="3"/>
  <c r="S136" i="3"/>
  <c r="J133" i="2" s="1"/>
  <c r="Q136" i="3"/>
  <c r="L136" i="3"/>
  <c r="K136" i="3"/>
  <c r="I136" i="3"/>
  <c r="P136" i="3"/>
  <c r="N136" i="3"/>
  <c r="H136" i="3"/>
  <c r="F136" i="3"/>
  <c r="D136" i="3"/>
  <c r="B136" i="3"/>
  <c r="S135" i="3"/>
  <c r="J132" i="2" s="1"/>
  <c r="Q135" i="3"/>
  <c r="L135" i="3"/>
  <c r="K135" i="3"/>
  <c r="I135" i="3"/>
  <c r="P135" i="3"/>
  <c r="N135" i="3"/>
  <c r="H135" i="3"/>
  <c r="F135" i="3"/>
  <c r="D135" i="3"/>
  <c r="B135" i="3"/>
  <c r="S134" i="3"/>
  <c r="J131" i="2" s="1"/>
  <c r="Q134" i="3"/>
  <c r="L134" i="3"/>
  <c r="K134" i="3"/>
  <c r="I134" i="3"/>
  <c r="P134" i="3"/>
  <c r="N134" i="3"/>
  <c r="H134" i="3"/>
  <c r="F134" i="3"/>
  <c r="D134" i="3"/>
  <c r="B134" i="3"/>
  <c r="S133" i="3"/>
  <c r="J130" i="2" s="1"/>
  <c r="Q133" i="3"/>
  <c r="L133" i="3"/>
  <c r="K133" i="3"/>
  <c r="I133" i="3"/>
  <c r="P133" i="3"/>
  <c r="N133" i="3"/>
  <c r="H133" i="3"/>
  <c r="F133" i="3"/>
  <c r="D133" i="3"/>
  <c r="B133" i="3"/>
  <c r="S132" i="3"/>
  <c r="J129" i="2" s="1"/>
  <c r="Q132" i="3"/>
  <c r="L132" i="3"/>
  <c r="K132" i="3"/>
  <c r="I132" i="3"/>
  <c r="P132" i="3"/>
  <c r="N132" i="3"/>
  <c r="H132" i="3"/>
  <c r="F132" i="3"/>
  <c r="D132" i="3"/>
  <c r="B132" i="3"/>
  <c r="S131" i="3"/>
  <c r="J128" i="2" s="1"/>
  <c r="Q131" i="3"/>
  <c r="L131" i="3"/>
  <c r="K131" i="3"/>
  <c r="I131" i="3"/>
  <c r="P131" i="3"/>
  <c r="N131" i="3"/>
  <c r="H131" i="3"/>
  <c r="F131" i="3"/>
  <c r="D131" i="3"/>
  <c r="B131" i="3"/>
  <c r="S130" i="3"/>
  <c r="J127" i="2" s="1"/>
  <c r="Q130" i="3"/>
  <c r="L130" i="3"/>
  <c r="K130" i="3"/>
  <c r="I130" i="3"/>
  <c r="P130" i="3"/>
  <c r="N130" i="3"/>
  <c r="H130" i="3"/>
  <c r="F130" i="3"/>
  <c r="D130" i="3"/>
  <c r="B130" i="3"/>
  <c r="S129" i="3"/>
  <c r="J126" i="2" s="1"/>
  <c r="Q129" i="3"/>
  <c r="L129" i="3"/>
  <c r="K129" i="3"/>
  <c r="I129" i="3"/>
  <c r="P129" i="3"/>
  <c r="N129" i="3"/>
  <c r="H129" i="3"/>
  <c r="F129" i="3"/>
  <c r="D129" i="3"/>
  <c r="B129" i="3"/>
  <c r="S128" i="3"/>
  <c r="J125" i="2" s="1"/>
  <c r="Q128" i="3"/>
  <c r="L128" i="3"/>
  <c r="K128" i="3"/>
  <c r="I128" i="3"/>
  <c r="P128" i="3"/>
  <c r="N128" i="3"/>
  <c r="H128" i="3"/>
  <c r="F128" i="3"/>
  <c r="D128" i="3"/>
  <c r="B128" i="3"/>
  <c r="S127" i="3"/>
  <c r="J124" i="2" s="1"/>
  <c r="Q127" i="3"/>
  <c r="L127" i="3"/>
  <c r="K127" i="3"/>
  <c r="I127" i="3"/>
  <c r="P127" i="3"/>
  <c r="N127" i="3"/>
  <c r="H127" i="3"/>
  <c r="F127" i="3"/>
  <c r="D127" i="3"/>
  <c r="B127" i="3"/>
  <c r="S126" i="3"/>
  <c r="J123" i="2" s="1"/>
  <c r="Q126" i="3"/>
  <c r="L126" i="3"/>
  <c r="K126" i="3"/>
  <c r="I126" i="3"/>
  <c r="P126" i="3"/>
  <c r="N126" i="3"/>
  <c r="H126" i="3"/>
  <c r="F126" i="3"/>
  <c r="D126" i="3"/>
  <c r="B126" i="3"/>
  <c r="S125" i="3"/>
  <c r="J122" i="2" s="1"/>
  <c r="Q125" i="3"/>
  <c r="L125" i="3"/>
  <c r="K125" i="3"/>
  <c r="I125" i="3"/>
  <c r="P125" i="3"/>
  <c r="N125" i="3"/>
  <c r="H125" i="3"/>
  <c r="F125" i="3"/>
  <c r="D125" i="3"/>
  <c r="B125" i="3"/>
  <c r="S124" i="3"/>
  <c r="J121" i="2" s="1"/>
  <c r="Q124" i="3"/>
  <c r="L124" i="3"/>
  <c r="K124" i="3"/>
  <c r="I124" i="3"/>
  <c r="P124" i="3"/>
  <c r="N124" i="3"/>
  <c r="H124" i="3"/>
  <c r="F124" i="3"/>
  <c r="D124" i="3"/>
  <c r="B124" i="3"/>
  <c r="S123" i="3"/>
  <c r="J120" i="2" s="1"/>
  <c r="Q123" i="3"/>
  <c r="L123" i="3"/>
  <c r="K123" i="3"/>
  <c r="I123" i="3"/>
  <c r="P123" i="3"/>
  <c r="N123" i="3"/>
  <c r="H123" i="3"/>
  <c r="F123" i="3"/>
  <c r="D123" i="3"/>
  <c r="B123" i="3"/>
  <c r="S122" i="3"/>
  <c r="J119" i="2" s="1"/>
  <c r="Q122" i="3"/>
  <c r="L122" i="3"/>
  <c r="K122" i="3"/>
  <c r="I122" i="3"/>
  <c r="P122" i="3"/>
  <c r="N122" i="3"/>
  <c r="H122" i="3"/>
  <c r="F122" i="3"/>
  <c r="D122" i="3"/>
  <c r="B122" i="3"/>
  <c r="S121" i="3"/>
  <c r="J118" i="2" s="1"/>
  <c r="Q121" i="3"/>
  <c r="L121" i="3"/>
  <c r="K121" i="3"/>
  <c r="I121" i="3"/>
  <c r="P121" i="3"/>
  <c r="N121" i="3"/>
  <c r="H121" i="3"/>
  <c r="F121" i="3"/>
  <c r="D121" i="3"/>
  <c r="B121" i="3"/>
  <c r="S120" i="3"/>
  <c r="J117" i="2" s="1"/>
  <c r="Q120" i="3"/>
  <c r="L120" i="3"/>
  <c r="K120" i="3"/>
  <c r="I120" i="3"/>
  <c r="P120" i="3"/>
  <c r="N120" i="3"/>
  <c r="H120" i="3"/>
  <c r="F120" i="3"/>
  <c r="D120" i="3"/>
  <c r="B120" i="3"/>
  <c r="S119" i="3"/>
  <c r="J116" i="2" s="1"/>
  <c r="Q119" i="3"/>
  <c r="L119" i="3"/>
  <c r="K119" i="3"/>
  <c r="I119" i="3"/>
  <c r="P119" i="3"/>
  <c r="N119" i="3"/>
  <c r="H119" i="3"/>
  <c r="F119" i="3"/>
  <c r="D119" i="3"/>
  <c r="B119" i="3"/>
  <c r="S118" i="3"/>
  <c r="J115" i="2" s="1"/>
  <c r="Q118" i="3"/>
  <c r="L118" i="3"/>
  <c r="K118" i="3"/>
  <c r="I118" i="3"/>
  <c r="P118" i="3"/>
  <c r="N118" i="3"/>
  <c r="H118" i="3"/>
  <c r="F118" i="3"/>
  <c r="D118" i="3"/>
  <c r="B118" i="3"/>
  <c r="S117" i="3"/>
  <c r="J114" i="2" s="1"/>
  <c r="Q117" i="3"/>
  <c r="L117" i="3"/>
  <c r="K117" i="3"/>
  <c r="I117" i="3"/>
  <c r="P117" i="3"/>
  <c r="N117" i="3"/>
  <c r="H117" i="3"/>
  <c r="F117" i="3"/>
  <c r="D117" i="3"/>
  <c r="B117" i="3"/>
  <c r="S116" i="3"/>
  <c r="J113" i="2" s="1"/>
  <c r="Q116" i="3"/>
  <c r="L116" i="3"/>
  <c r="K116" i="3"/>
  <c r="I116" i="3"/>
  <c r="P116" i="3"/>
  <c r="N116" i="3"/>
  <c r="H116" i="3"/>
  <c r="F116" i="3"/>
  <c r="D116" i="3"/>
  <c r="B116" i="3"/>
  <c r="S115" i="3"/>
  <c r="J112" i="2" s="1"/>
  <c r="Q115" i="3"/>
  <c r="L115" i="3"/>
  <c r="K115" i="3"/>
  <c r="I115" i="3"/>
  <c r="P115" i="3"/>
  <c r="N115" i="3"/>
  <c r="H115" i="3"/>
  <c r="F115" i="3"/>
  <c r="D115" i="3"/>
  <c r="B115" i="3"/>
  <c r="S114" i="3"/>
  <c r="J111" i="2" s="1"/>
  <c r="Q114" i="3"/>
  <c r="L114" i="3"/>
  <c r="K114" i="3"/>
  <c r="I114" i="3"/>
  <c r="P114" i="3"/>
  <c r="N114" i="3"/>
  <c r="H114" i="3"/>
  <c r="F114" i="3"/>
  <c r="D114" i="3"/>
  <c r="B114" i="3"/>
  <c r="S113" i="3"/>
  <c r="J110" i="2" s="1"/>
  <c r="Q113" i="3"/>
  <c r="L113" i="3"/>
  <c r="K113" i="3"/>
  <c r="I113" i="3"/>
  <c r="P113" i="3"/>
  <c r="N113" i="3"/>
  <c r="H113" i="3"/>
  <c r="F113" i="3"/>
  <c r="D113" i="3"/>
  <c r="B113" i="3"/>
  <c r="S112" i="3"/>
  <c r="J109" i="2" s="1"/>
  <c r="Q112" i="3"/>
  <c r="L112" i="3"/>
  <c r="K112" i="3"/>
  <c r="I112" i="3"/>
  <c r="P112" i="3"/>
  <c r="N112" i="3"/>
  <c r="H112" i="3"/>
  <c r="F112" i="3"/>
  <c r="D112" i="3"/>
  <c r="B112" i="3"/>
  <c r="S111" i="3"/>
  <c r="J108" i="2" s="1"/>
  <c r="Q111" i="3"/>
  <c r="L111" i="3"/>
  <c r="K111" i="3"/>
  <c r="I111" i="3"/>
  <c r="P111" i="3"/>
  <c r="N111" i="3"/>
  <c r="H111" i="3"/>
  <c r="F111" i="3"/>
  <c r="D111" i="3"/>
  <c r="B111" i="3"/>
  <c r="S110" i="3"/>
  <c r="J107" i="2" s="1"/>
  <c r="Q110" i="3"/>
  <c r="L110" i="3"/>
  <c r="K110" i="3"/>
  <c r="I110" i="3"/>
  <c r="P110" i="3"/>
  <c r="N110" i="3"/>
  <c r="H110" i="3"/>
  <c r="F110" i="3"/>
  <c r="D110" i="3"/>
  <c r="B110" i="3"/>
  <c r="S109" i="3"/>
  <c r="J106" i="2" s="1"/>
  <c r="Q109" i="3"/>
  <c r="L109" i="3"/>
  <c r="K109" i="3"/>
  <c r="I109" i="3"/>
  <c r="P109" i="3"/>
  <c r="N109" i="3"/>
  <c r="H109" i="3"/>
  <c r="F109" i="3"/>
  <c r="D109" i="3"/>
  <c r="B109" i="3"/>
  <c r="S108" i="3"/>
  <c r="J105" i="2" s="1"/>
  <c r="Q108" i="3"/>
  <c r="L108" i="3"/>
  <c r="K108" i="3"/>
  <c r="I108" i="3"/>
  <c r="P108" i="3"/>
  <c r="N108" i="3"/>
  <c r="H108" i="3"/>
  <c r="F108" i="3"/>
  <c r="D108" i="3"/>
  <c r="B108" i="3"/>
  <c r="S107" i="3"/>
  <c r="J104" i="2" s="1"/>
  <c r="Q107" i="3"/>
  <c r="L107" i="3"/>
  <c r="K107" i="3"/>
  <c r="I107" i="3"/>
  <c r="P107" i="3"/>
  <c r="N107" i="3"/>
  <c r="H107" i="3"/>
  <c r="F107" i="3"/>
  <c r="D107" i="3"/>
  <c r="B107" i="3"/>
  <c r="S106" i="3"/>
  <c r="J103" i="2" s="1"/>
  <c r="Q106" i="3"/>
  <c r="L106" i="3"/>
  <c r="K106" i="3"/>
  <c r="I106" i="3"/>
  <c r="P106" i="3"/>
  <c r="N106" i="3"/>
  <c r="H106" i="3"/>
  <c r="F106" i="3"/>
  <c r="D106" i="3"/>
  <c r="B106" i="3"/>
  <c r="S105" i="3"/>
  <c r="J102" i="2" s="1"/>
  <c r="Q105" i="3"/>
  <c r="L105" i="3"/>
  <c r="K105" i="3"/>
  <c r="I105" i="3"/>
  <c r="P105" i="3"/>
  <c r="N105" i="3"/>
  <c r="H105" i="3"/>
  <c r="F105" i="3"/>
  <c r="D105" i="3"/>
  <c r="B105" i="3"/>
  <c r="S104" i="3"/>
  <c r="J101" i="2" s="1"/>
  <c r="Q104" i="3"/>
  <c r="L104" i="3"/>
  <c r="K104" i="3"/>
  <c r="I104" i="3"/>
  <c r="P104" i="3"/>
  <c r="N104" i="3"/>
  <c r="H104" i="3"/>
  <c r="F104" i="3"/>
  <c r="D104" i="3"/>
  <c r="B104" i="3"/>
  <c r="S103" i="3"/>
  <c r="J100" i="2" s="1"/>
  <c r="Q103" i="3"/>
  <c r="L103" i="3"/>
  <c r="K103" i="3"/>
  <c r="I103" i="3"/>
  <c r="P103" i="3"/>
  <c r="N103" i="3"/>
  <c r="H103" i="3"/>
  <c r="F103" i="3"/>
  <c r="D103" i="3"/>
  <c r="B103" i="3"/>
  <c r="S102" i="3"/>
  <c r="J99" i="2" s="1"/>
  <c r="Q102" i="3"/>
  <c r="L102" i="3"/>
  <c r="K102" i="3"/>
  <c r="I102" i="3"/>
  <c r="P102" i="3"/>
  <c r="N102" i="3"/>
  <c r="H102" i="3"/>
  <c r="F102" i="3"/>
  <c r="D102" i="3"/>
  <c r="B102" i="3"/>
  <c r="S101" i="3"/>
  <c r="J98" i="2" s="1"/>
  <c r="Q101" i="3"/>
  <c r="L101" i="3"/>
  <c r="K101" i="3"/>
  <c r="I101" i="3"/>
  <c r="P101" i="3"/>
  <c r="N101" i="3"/>
  <c r="H101" i="3"/>
  <c r="F101" i="3"/>
  <c r="D101" i="3"/>
  <c r="B101" i="3"/>
  <c r="S100" i="3"/>
  <c r="J97" i="2" s="1"/>
  <c r="Q100" i="3"/>
  <c r="L100" i="3"/>
  <c r="K100" i="3"/>
  <c r="I100" i="3"/>
  <c r="P100" i="3"/>
  <c r="N100" i="3"/>
  <c r="H100" i="3"/>
  <c r="F100" i="3"/>
  <c r="D100" i="3"/>
  <c r="B100" i="3"/>
  <c r="S99" i="3"/>
  <c r="J96" i="2" s="1"/>
  <c r="Q99" i="3"/>
  <c r="L99" i="3"/>
  <c r="K99" i="3"/>
  <c r="I99" i="3"/>
  <c r="P99" i="3"/>
  <c r="N99" i="3"/>
  <c r="H99" i="3"/>
  <c r="F99" i="3"/>
  <c r="D99" i="3"/>
  <c r="B99" i="3"/>
  <c r="S98" i="3"/>
  <c r="J95" i="2" s="1"/>
  <c r="Q98" i="3"/>
  <c r="L98" i="3"/>
  <c r="K98" i="3"/>
  <c r="I98" i="3"/>
  <c r="P98" i="3"/>
  <c r="N98" i="3"/>
  <c r="H98" i="3"/>
  <c r="F98" i="3"/>
  <c r="D98" i="3"/>
  <c r="B98" i="3"/>
  <c r="S97" i="3"/>
  <c r="J94" i="2" s="1"/>
  <c r="Q97" i="3"/>
  <c r="L97" i="3"/>
  <c r="K97" i="3"/>
  <c r="I97" i="3"/>
  <c r="P97" i="3"/>
  <c r="N97" i="3"/>
  <c r="H97" i="3"/>
  <c r="F97" i="3"/>
  <c r="D97" i="3"/>
  <c r="B97" i="3"/>
  <c r="S96" i="3"/>
  <c r="J93" i="2" s="1"/>
  <c r="Q96" i="3"/>
  <c r="L96" i="3"/>
  <c r="K96" i="3"/>
  <c r="I96" i="3"/>
  <c r="P96" i="3"/>
  <c r="N96" i="3"/>
  <c r="H96" i="3"/>
  <c r="F96" i="3"/>
  <c r="D96" i="3"/>
  <c r="B96" i="3"/>
  <c r="S95" i="3"/>
  <c r="J92" i="2" s="1"/>
  <c r="Q95" i="3"/>
  <c r="L95" i="3"/>
  <c r="K95" i="3"/>
  <c r="I95" i="3"/>
  <c r="P95" i="3"/>
  <c r="N95" i="3"/>
  <c r="H95" i="3"/>
  <c r="F95" i="3"/>
  <c r="D95" i="3"/>
  <c r="B95" i="3"/>
  <c r="S94" i="3"/>
  <c r="J91" i="2" s="1"/>
  <c r="Q94" i="3"/>
  <c r="L94" i="3"/>
  <c r="K94" i="3"/>
  <c r="I94" i="3"/>
  <c r="P94" i="3"/>
  <c r="N94" i="3"/>
  <c r="H94" i="3"/>
  <c r="F94" i="3"/>
  <c r="D94" i="3"/>
  <c r="B94" i="3"/>
  <c r="S93" i="3"/>
  <c r="J90" i="2" s="1"/>
  <c r="Q93" i="3"/>
  <c r="L93" i="3"/>
  <c r="K93" i="3"/>
  <c r="I93" i="3"/>
  <c r="P93" i="3"/>
  <c r="N93" i="3"/>
  <c r="H93" i="3"/>
  <c r="F93" i="3"/>
  <c r="D93" i="3"/>
  <c r="B93" i="3"/>
  <c r="S92" i="3"/>
  <c r="J89" i="2" s="1"/>
  <c r="Q92" i="3"/>
  <c r="L92" i="3"/>
  <c r="K92" i="3"/>
  <c r="I92" i="3"/>
  <c r="P92" i="3"/>
  <c r="N92" i="3"/>
  <c r="H92" i="3"/>
  <c r="F92" i="3"/>
  <c r="D92" i="3"/>
  <c r="B92" i="3"/>
  <c r="S91" i="3"/>
  <c r="J88" i="2" s="1"/>
  <c r="Q91" i="3"/>
  <c r="L91" i="3"/>
  <c r="K91" i="3"/>
  <c r="I91" i="3"/>
  <c r="P91" i="3"/>
  <c r="N91" i="3"/>
  <c r="H91" i="3"/>
  <c r="F91" i="3"/>
  <c r="D91" i="3"/>
  <c r="B91" i="3"/>
  <c r="S90" i="3"/>
  <c r="J87" i="2" s="1"/>
  <c r="Q90" i="3"/>
  <c r="L90" i="3"/>
  <c r="K90" i="3"/>
  <c r="I90" i="3"/>
  <c r="P90" i="3"/>
  <c r="N90" i="3"/>
  <c r="H90" i="3"/>
  <c r="F90" i="3"/>
  <c r="D90" i="3"/>
  <c r="B90" i="3"/>
  <c r="S89" i="3"/>
  <c r="J86" i="2" s="1"/>
  <c r="Q89" i="3"/>
  <c r="L89" i="3"/>
  <c r="K89" i="3"/>
  <c r="I89" i="3"/>
  <c r="P89" i="3"/>
  <c r="N89" i="3"/>
  <c r="H89" i="3"/>
  <c r="F89" i="3"/>
  <c r="D89" i="3"/>
  <c r="B89" i="3"/>
  <c r="S88" i="3"/>
  <c r="J85" i="2" s="1"/>
  <c r="Q88" i="3"/>
  <c r="L88" i="3"/>
  <c r="K88" i="3"/>
  <c r="I88" i="3"/>
  <c r="P88" i="3"/>
  <c r="N88" i="3"/>
  <c r="H88" i="3"/>
  <c r="F88" i="3"/>
  <c r="D88" i="3"/>
  <c r="B88" i="3"/>
  <c r="S87" i="3"/>
  <c r="J84" i="2" s="1"/>
  <c r="Q87" i="3"/>
  <c r="L87" i="3"/>
  <c r="K87" i="3"/>
  <c r="I87" i="3"/>
  <c r="P87" i="3"/>
  <c r="N87" i="3"/>
  <c r="H87" i="3"/>
  <c r="F87" i="3"/>
  <c r="D87" i="3"/>
  <c r="B87" i="3"/>
  <c r="S86" i="3"/>
  <c r="J83" i="2" s="1"/>
  <c r="Q86" i="3"/>
  <c r="L86" i="3"/>
  <c r="K86" i="3"/>
  <c r="I86" i="3"/>
  <c r="P86" i="3"/>
  <c r="N86" i="3"/>
  <c r="H86" i="3"/>
  <c r="F86" i="3"/>
  <c r="D86" i="3"/>
  <c r="B86" i="3"/>
  <c r="S85" i="3"/>
  <c r="J82" i="2" s="1"/>
  <c r="Q85" i="3"/>
  <c r="L85" i="3"/>
  <c r="K85" i="3"/>
  <c r="I85" i="3"/>
  <c r="P85" i="3"/>
  <c r="N85" i="3"/>
  <c r="H85" i="3"/>
  <c r="F85" i="3"/>
  <c r="D85" i="3"/>
  <c r="B85" i="3"/>
  <c r="S84" i="3"/>
  <c r="J81" i="2" s="1"/>
  <c r="Q84" i="3"/>
  <c r="L84" i="3"/>
  <c r="K84" i="3"/>
  <c r="I84" i="3"/>
  <c r="P84" i="3"/>
  <c r="N84" i="3"/>
  <c r="H84" i="3"/>
  <c r="F84" i="3"/>
  <c r="D84" i="3"/>
  <c r="B84" i="3"/>
  <c r="S83" i="3"/>
  <c r="J80" i="2" s="1"/>
  <c r="Q83" i="3"/>
  <c r="L83" i="3"/>
  <c r="K83" i="3"/>
  <c r="I83" i="3"/>
  <c r="P83" i="3"/>
  <c r="N83" i="3"/>
  <c r="H83" i="3"/>
  <c r="F83" i="3"/>
  <c r="D83" i="3"/>
  <c r="B83" i="3"/>
  <c r="S82" i="3"/>
  <c r="J79" i="2" s="1"/>
  <c r="Q82" i="3"/>
  <c r="L82" i="3"/>
  <c r="K82" i="3"/>
  <c r="I82" i="3"/>
  <c r="P82" i="3"/>
  <c r="N82" i="3"/>
  <c r="H82" i="3"/>
  <c r="F82" i="3"/>
  <c r="D82" i="3"/>
  <c r="B82" i="3"/>
  <c r="S81" i="3"/>
  <c r="J78" i="2" s="1"/>
  <c r="Q81" i="3"/>
  <c r="L81" i="3"/>
  <c r="K81" i="3"/>
  <c r="I81" i="3"/>
  <c r="P81" i="3"/>
  <c r="N81" i="3"/>
  <c r="H81" i="3"/>
  <c r="F81" i="3"/>
  <c r="D81" i="3"/>
  <c r="B81" i="3"/>
  <c r="S80" i="3"/>
  <c r="J77" i="2" s="1"/>
  <c r="Q80" i="3"/>
  <c r="L80" i="3"/>
  <c r="K80" i="3"/>
  <c r="I80" i="3"/>
  <c r="P80" i="3"/>
  <c r="N80" i="3"/>
  <c r="H80" i="3"/>
  <c r="F80" i="3"/>
  <c r="D80" i="3"/>
  <c r="B80" i="3"/>
  <c r="S79" i="3"/>
  <c r="J76" i="2" s="1"/>
  <c r="Q79" i="3"/>
  <c r="L79" i="3"/>
  <c r="K79" i="3"/>
  <c r="I79" i="3"/>
  <c r="P79" i="3"/>
  <c r="N79" i="3"/>
  <c r="H79" i="3"/>
  <c r="F79" i="3"/>
  <c r="D79" i="3"/>
  <c r="B79" i="3"/>
  <c r="S78" i="3"/>
  <c r="J75" i="2" s="1"/>
  <c r="Q78" i="3"/>
  <c r="L78" i="3"/>
  <c r="K78" i="3"/>
  <c r="I78" i="3"/>
  <c r="P78" i="3"/>
  <c r="N78" i="3"/>
  <c r="H78" i="3"/>
  <c r="F78" i="3"/>
  <c r="D78" i="3"/>
  <c r="B78" i="3"/>
  <c r="S77" i="3"/>
  <c r="J74" i="2" s="1"/>
  <c r="Q77" i="3"/>
  <c r="L77" i="3"/>
  <c r="K77" i="3"/>
  <c r="I77" i="3"/>
  <c r="P77" i="3"/>
  <c r="N77" i="3"/>
  <c r="H77" i="3"/>
  <c r="F77" i="3"/>
  <c r="D77" i="3"/>
  <c r="B77" i="3"/>
  <c r="S76" i="3"/>
  <c r="J73" i="2" s="1"/>
  <c r="Q76" i="3"/>
  <c r="L76" i="3"/>
  <c r="K76" i="3"/>
  <c r="I76" i="3"/>
  <c r="P76" i="3"/>
  <c r="N76" i="3"/>
  <c r="H76" i="3"/>
  <c r="F76" i="3"/>
  <c r="D76" i="3"/>
  <c r="B76" i="3"/>
  <c r="S75" i="3"/>
  <c r="J72" i="2" s="1"/>
  <c r="Q75" i="3"/>
  <c r="L75" i="3"/>
  <c r="K75" i="3"/>
  <c r="I75" i="3"/>
  <c r="P75" i="3"/>
  <c r="N75" i="3"/>
  <c r="H75" i="3"/>
  <c r="F75" i="3"/>
  <c r="D75" i="3"/>
  <c r="B75" i="3"/>
  <c r="S74" i="3"/>
  <c r="J71" i="2" s="1"/>
  <c r="Q74" i="3"/>
  <c r="L74" i="3"/>
  <c r="K74" i="3"/>
  <c r="I74" i="3"/>
  <c r="P74" i="3"/>
  <c r="N74" i="3"/>
  <c r="H74" i="3"/>
  <c r="F74" i="3"/>
  <c r="D74" i="3"/>
  <c r="B74" i="3"/>
  <c r="S73" i="3"/>
  <c r="J70" i="2" s="1"/>
  <c r="Q73" i="3"/>
  <c r="L73" i="3"/>
  <c r="K73" i="3"/>
  <c r="I73" i="3"/>
  <c r="P73" i="3"/>
  <c r="N73" i="3"/>
  <c r="H73" i="3"/>
  <c r="F73" i="3"/>
  <c r="D73" i="3"/>
  <c r="B73" i="3"/>
  <c r="S72" i="3"/>
  <c r="J69" i="2" s="1"/>
  <c r="Q72" i="3"/>
  <c r="L72" i="3"/>
  <c r="K72" i="3"/>
  <c r="I72" i="3"/>
  <c r="P72" i="3"/>
  <c r="N72" i="3"/>
  <c r="H72" i="3"/>
  <c r="F72" i="3"/>
  <c r="D72" i="3"/>
  <c r="B72" i="3"/>
  <c r="S71" i="3"/>
  <c r="J68" i="2" s="1"/>
  <c r="Q71" i="3"/>
  <c r="L71" i="3"/>
  <c r="K71" i="3"/>
  <c r="I71" i="3"/>
  <c r="P71" i="3"/>
  <c r="N71" i="3"/>
  <c r="H71" i="3"/>
  <c r="F71" i="3"/>
  <c r="D71" i="3"/>
  <c r="B71" i="3"/>
  <c r="S70" i="3"/>
  <c r="J67" i="2" s="1"/>
  <c r="Q70" i="3"/>
  <c r="L70" i="3"/>
  <c r="K70" i="3"/>
  <c r="I70" i="3"/>
  <c r="P70" i="3"/>
  <c r="N70" i="3"/>
  <c r="H70" i="3"/>
  <c r="F70" i="3"/>
  <c r="D70" i="3"/>
  <c r="B70" i="3"/>
  <c r="S69" i="3"/>
  <c r="J66" i="2" s="1"/>
  <c r="Q69" i="3"/>
  <c r="L69" i="3"/>
  <c r="K69" i="3"/>
  <c r="I69" i="3"/>
  <c r="P69" i="3"/>
  <c r="N69" i="3"/>
  <c r="H69" i="3"/>
  <c r="F69" i="3"/>
  <c r="D69" i="3"/>
  <c r="B69" i="3"/>
  <c r="S68" i="3"/>
  <c r="J65" i="2" s="1"/>
  <c r="Q68" i="3"/>
  <c r="L68" i="3"/>
  <c r="K68" i="3"/>
  <c r="I68" i="3"/>
  <c r="P68" i="3"/>
  <c r="N68" i="3"/>
  <c r="H68" i="3"/>
  <c r="F68" i="3"/>
  <c r="D68" i="3"/>
  <c r="B68" i="3"/>
  <c r="S67" i="3"/>
  <c r="J64" i="2" s="1"/>
  <c r="Q67" i="3"/>
  <c r="L67" i="3"/>
  <c r="K67" i="3"/>
  <c r="I67" i="3"/>
  <c r="P67" i="3"/>
  <c r="N67" i="3"/>
  <c r="H67" i="3"/>
  <c r="F67" i="3"/>
  <c r="D67" i="3"/>
  <c r="B67" i="3"/>
  <c r="S66" i="3"/>
  <c r="J63" i="2" s="1"/>
  <c r="Q66" i="3"/>
  <c r="L66" i="3"/>
  <c r="K66" i="3"/>
  <c r="I66" i="3"/>
  <c r="P66" i="3"/>
  <c r="N66" i="3"/>
  <c r="H66" i="3"/>
  <c r="F66" i="3"/>
  <c r="D66" i="3"/>
  <c r="B66" i="3"/>
  <c r="S65" i="3"/>
  <c r="J62" i="2" s="1"/>
  <c r="Q65" i="3"/>
  <c r="L65" i="3"/>
  <c r="K65" i="3"/>
  <c r="I65" i="3"/>
  <c r="P65" i="3"/>
  <c r="N65" i="3"/>
  <c r="H65" i="3"/>
  <c r="F65" i="3"/>
  <c r="D65" i="3"/>
  <c r="B65" i="3"/>
  <c r="S64" i="3"/>
  <c r="J61" i="2" s="1"/>
  <c r="Q64" i="3"/>
  <c r="L64" i="3"/>
  <c r="K64" i="3"/>
  <c r="I64" i="3"/>
  <c r="P64" i="3"/>
  <c r="N64" i="3"/>
  <c r="H64" i="3"/>
  <c r="F64" i="3"/>
  <c r="D64" i="3"/>
  <c r="B64" i="3"/>
  <c r="S63" i="3"/>
  <c r="J60" i="2" s="1"/>
  <c r="Q63" i="3"/>
  <c r="L63" i="3"/>
  <c r="K63" i="3"/>
  <c r="I63" i="3"/>
  <c r="P63" i="3"/>
  <c r="N63" i="3"/>
  <c r="H63" i="3"/>
  <c r="F63" i="3"/>
  <c r="D63" i="3"/>
  <c r="B63" i="3"/>
  <c r="S62" i="3"/>
  <c r="J59" i="2" s="1"/>
  <c r="Q62" i="3"/>
  <c r="L62" i="3"/>
  <c r="K62" i="3"/>
  <c r="I62" i="3"/>
  <c r="P62" i="3"/>
  <c r="N62" i="3"/>
  <c r="H62" i="3"/>
  <c r="F62" i="3"/>
  <c r="D62" i="3"/>
  <c r="B62" i="3"/>
  <c r="S61" i="3"/>
  <c r="J58" i="2" s="1"/>
  <c r="Q61" i="3"/>
  <c r="L61" i="3"/>
  <c r="K61" i="3"/>
  <c r="I61" i="3"/>
  <c r="P61" i="3"/>
  <c r="N61" i="3"/>
  <c r="H61" i="3"/>
  <c r="F61" i="3"/>
  <c r="D61" i="3"/>
  <c r="B61" i="3"/>
  <c r="S60" i="3"/>
  <c r="J57" i="2" s="1"/>
  <c r="Q60" i="3"/>
  <c r="L60" i="3"/>
  <c r="K60" i="3"/>
  <c r="I60" i="3"/>
  <c r="P60" i="3"/>
  <c r="N60" i="3"/>
  <c r="H60" i="3"/>
  <c r="F60" i="3"/>
  <c r="D60" i="3"/>
  <c r="B60" i="3"/>
  <c r="S59" i="3"/>
  <c r="J56" i="2" s="1"/>
  <c r="Q59" i="3"/>
  <c r="L59" i="3"/>
  <c r="K59" i="3"/>
  <c r="I59" i="3"/>
  <c r="P59" i="3"/>
  <c r="N59" i="3"/>
  <c r="H59" i="3"/>
  <c r="F59" i="3"/>
  <c r="D59" i="3"/>
  <c r="B59" i="3"/>
  <c r="S58" i="3"/>
  <c r="J55" i="2" s="1"/>
  <c r="Q58" i="3"/>
  <c r="L58" i="3"/>
  <c r="K58" i="3"/>
  <c r="I58" i="3"/>
  <c r="P58" i="3"/>
  <c r="N58" i="3"/>
  <c r="H58" i="3"/>
  <c r="F58" i="3"/>
  <c r="D58" i="3"/>
  <c r="B58" i="3"/>
  <c r="S57" i="3"/>
  <c r="J54" i="2" s="1"/>
  <c r="Q57" i="3"/>
  <c r="L57" i="3"/>
  <c r="K57" i="3"/>
  <c r="I57" i="3"/>
  <c r="P57" i="3"/>
  <c r="N57" i="3"/>
  <c r="H57" i="3"/>
  <c r="F57" i="3"/>
  <c r="D57" i="3"/>
  <c r="B57" i="3"/>
  <c r="S56" i="3"/>
  <c r="J53" i="2" s="1"/>
  <c r="Q56" i="3"/>
  <c r="L56" i="3"/>
  <c r="K56" i="3"/>
  <c r="I56" i="3"/>
  <c r="P56" i="3"/>
  <c r="N56" i="3"/>
  <c r="H56" i="3"/>
  <c r="F56" i="3"/>
  <c r="D56" i="3"/>
  <c r="B56" i="3"/>
  <c r="S55" i="3"/>
  <c r="J52" i="2" s="1"/>
  <c r="Q55" i="3"/>
  <c r="L55" i="3"/>
  <c r="K55" i="3"/>
  <c r="I55" i="3"/>
  <c r="P55" i="3"/>
  <c r="N55" i="3"/>
  <c r="H55" i="3"/>
  <c r="F55" i="3"/>
  <c r="D55" i="3"/>
  <c r="B55" i="3"/>
  <c r="S54" i="3"/>
  <c r="J51" i="2" s="1"/>
  <c r="Q54" i="3"/>
  <c r="L54" i="3"/>
  <c r="K54" i="3"/>
  <c r="I54" i="3"/>
  <c r="P54" i="3"/>
  <c r="N54" i="3"/>
  <c r="H54" i="3"/>
  <c r="F54" i="3"/>
  <c r="D54" i="3"/>
  <c r="B54" i="3"/>
  <c r="S53" i="3"/>
  <c r="J50" i="2" s="1"/>
  <c r="Q53" i="3"/>
  <c r="L53" i="3"/>
  <c r="K53" i="3"/>
  <c r="I53" i="3"/>
  <c r="P53" i="3"/>
  <c r="N53" i="3"/>
  <c r="H53" i="3"/>
  <c r="F53" i="3"/>
  <c r="D53" i="3"/>
  <c r="B53" i="3"/>
  <c r="S52" i="3"/>
  <c r="J49" i="2" s="1"/>
  <c r="Q52" i="3"/>
  <c r="L52" i="3"/>
  <c r="K52" i="3"/>
  <c r="I52" i="3"/>
  <c r="P52" i="3"/>
  <c r="N52" i="3"/>
  <c r="H52" i="3"/>
  <c r="F52" i="3"/>
  <c r="D52" i="3"/>
  <c r="B52" i="3"/>
  <c r="S51" i="3"/>
  <c r="J48" i="2" s="1"/>
  <c r="Q51" i="3"/>
  <c r="L51" i="3"/>
  <c r="K51" i="3"/>
  <c r="I51" i="3"/>
  <c r="P51" i="3"/>
  <c r="N51" i="3"/>
  <c r="H51" i="3"/>
  <c r="F51" i="3"/>
  <c r="D51" i="3"/>
  <c r="B51" i="3"/>
  <c r="S50" i="3"/>
  <c r="J47" i="2" s="1"/>
  <c r="Q50" i="3"/>
  <c r="L50" i="3"/>
  <c r="K50" i="3"/>
  <c r="I50" i="3"/>
  <c r="P50" i="3"/>
  <c r="N50" i="3"/>
  <c r="H50" i="3"/>
  <c r="F50" i="3"/>
  <c r="D50" i="3"/>
  <c r="B50" i="3"/>
  <c r="S49" i="3"/>
  <c r="J46" i="2" s="1"/>
  <c r="Q49" i="3"/>
  <c r="L49" i="3"/>
  <c r="K49" i="3"/>
  <c r="I49" i="3"/>
  <c r="P49" i="3"/>
  <c r="N49" i="3"/>
  <c r="H49" i="3"/>
  <c r="F49" i="3"/>
  <c r="D49" i="3"/>
  <c r="B49" i="3"/>
  <c r="S48" i="3"/>
  <c r="J45" i="2" s="1"/>
  <c r="Q48" i="3"/>
  <c r="L48" i="3"/>
  <c r="K48" i="3"/>
  <c r="I48" i="3"/>
  <c r="P48" i="3"/>
  <c r="N48" i="3"/>
  <c r="H48" i="3"/>
  <c r="F48" i="3"/>
  <c r="D48" i="3"/>
  <c r="B48" i="3"/>
  <c r="S47" i="3"/>
  <c r="J44" i="2" s="1"/>
  <c r="Q47" i="3"/>
  <c r="L47" i="3"/>
  <c r="K47" i="3"/>
  <c r="I47" i="3"/>
  <c r="P47" i="3"/>
  <c r="N47" i="3"/>
  <c r="H47" i="3"/>
  <c r="F47" i="3"/>
  <c r="D47" i="3"/>
  <c r="B47" i="3"/>
  <c r="S46" i="3"/>
  <c r="J43" i="2" s="1"/>
  <c r="Q46" i="3"/>
  <c r="L46" i="3"/>
  <c r="K46" i="3"/>
  <c r="I46" i="3"/>
  <c r="P46" i="3"/>
  <c r="N46" i="3"/>
  <c r="H46" i="3"/>
  <c r="F46" i="3"/>
  <c r="D46" i="3"/>
  <c r="B46" i="3"/>
  <c r="S45" i="3"/>
  <c r="J42" i="2" s="1"/>
  <c r="Q45" i="3"/>
  <c r="L45" i="3"/>
  <c r="K45" i="3"/>
  <c r="I45" i="3"/>
  <c r="P45" i="3"/>
  <c r="N45" i="3"/>
  <c r="H45" i="3"/>
  <c r="F45" i="3"/>
  <c r="D45" i="3"/>
  <c r="B45" i="3"/>
  <c r="S44" i="3"/>
  <c r="J41" i="2" s="1"/>
  <c r="Q44" i="3"/>
  <c r="L44" i="3"/>
  <c r="K44" i="3"/>
  <c r="I44" i="3"/>
  <c r="P44" i="3"/>
  <c r="N44" i="3"/>
  <c r="H44" i="3"/>
  <c r="F44" i="3"/>
  <c r="D44" i="3"/>
  <c r="B44" i="3"/>
  <c r="S43" i="3"/>
  <c r="J40" i="2" s="1"/>
  <c r="Q43" i="3"/>
  <c r="L43" i="3"/>
  <c r="K43" i="3"/>
  <c r="I43" i="3"/>
  <c r="P43" i="3"/>
  <c r="N43" i="3"/>
  <c r="H43" i="3"/>
  <c r="F43" i="3"/>
  <c r="D43" i="3"/>
  <c r="B43" i="3"/>
  <c r="S42" i="3"/>
  <c r="J39" i="2" s="1"/>
  <c r="Q42" i="3"/>
  <c r="L42" i="3"/>
  <c r="K42" i="3"/>
  <c r="I42" i="3"/>
  <c r="P42" i="3"/>
  <c r="N42" i="3"/>
  <c r="H42" i="3"/>
  <c r="F42" i="3"/>
  <c r="D42" i="3"/>
  <c r="B42" i="3"/>
  <c r="S41" i="3"/>
  <c r="J38" i="2" s="1"/>
  <c r="Q41" i="3"/>
  <c r="L41" i="3"/>
  <c r="K41" i="3"/>
  <c r="I41" i="3"/>
  <c r="P41" i="3"/>
  <c r="N41" i="3"/>
  <c r="H41" i="3"/>
  <c r="F41" i="3"/>
  <c r="D41" i="3"/>
  <c r="B41" i="3"/>
  <c r="S40" i="3"/>
  <c r="J37" i="2" s="1"/>
  <c r="Q40" i="3"/>
  <c r="L40" i="3"/>
  <c r="K40" i="3"/>
  <c r="I40" i="3"/>
  <c r="P40" i="3"/>
  <c r="N40" i="3"/>
  <c r="H40" i="3"/>
  <c r="F40" i="3"/>
  <c r="D40" i="3"/>
  <c r="B40" i="3"/>
  <c r="S39" i="3"/>
  <c r="J36" i="2" s="1"/>
  <c r="Q39" i="3"/>
  <c r="L39" i="3"/>
  <c r="K39" i="3"/>
  <c r="I39" i="3"/>
  <c r="P39" i="3"/>
  <c r="N39" i="3"/>
  <c r="H39" i="3"/>
  <c r="F39" i="3"/>
  <c r="D39" i="3"/>
  <c r="B39" i="3"/>
  <c r="S38" i="3"/>
  <c r="J35" i="2" s="1"/>
  <c r="Q38" i="3"/>
  <c r="L38" i="3"/>
  <c r="K38" i="3"/>
  <c r="I38" i="3"/>
  <c r="P38" i="3"/>
  <c r="N38" i="3"/>
  <c r="H38" i="3"/>
  <c r="F38" i="3"/>
  <c r="D38" i="3"/>
  <c r="B38" i="3"/>
  <c r="S37" i="3"/>
  <c r="J34" i="2" s="1"/>
  <c r="Q37" i="3"/>
  <c r="L37" i="3"/>
  <c r="K37" i="3"/>
  <c r="I37" i="3"/>
  <c r="P37" i="3"/>
  <c r="N37" i="3"/>
  <c r="H37" i="3"/>
  <c r="F37" i="3"/>
  <c r="D37" i="3"/>
  <c r="B37" i="3"/>
  <c r="S36" i="3"/>
  <c r="J33" i="2" s="1"/>
  <c r="Q36" i="3"/>
  <c r="L36" i="3"/>
  <c r="K36" i="3"/>
  <c r="I36" i="3"/>
  <c r="P36" i="3"/>
  <c r="N36" i="3"/>
  <c r="H36" i="3"/>
  <c r="F36" i="3"/>
  <c r="D36" i="3"/>
  <c r="B36" i="3"/>
  <c r="S35" i="3"/>
  <c r="J32" i="2" s="1"/>
  <c r="Q35" i="3"/>
  <c r="L35" i="3"/>
  <c r="K35" i="3"/>
  <c r="I35" i="3"/>
  <c r="P35" i="3"/>
  <c r="N35" i="3"/>
  <c r="H35" i="3"/>
  <c r="F35" i="3"/>
  <c r="D35" i="3"/>
  <c r="B35" i="3"/>
  <c r="S34" i="3"/>
  <c r="J31" i="2" s="1"/>
  <c r="Q34" i="3"/>
  <c r="L34" i="3"/>
  <c r="K34" i="3"/>
  <c r="I34" i="3"/>
  <c r="P34" i="3"/>
  <c r="N34" i="3"/>
  <c r="H34" i="3"/>
  <c r="F34" i="3"/>
  <c r="D34" i="3"/>
  <c r="B34" i="3"/>
  <c r="S33" i="3"/>
  <c r="J30" i="2" s="1"/>
  <c r="Q33" i="3"/>
  <c r="L33" i="3"/>
  <c r="K33" i="3"/>
  <c r="I33" i="3"/>
  <c r="P33" i="3"/>
  <c r="N33" i="3"/>
  <c r="H33" i="3"/>
  <c r="F33" i="3"/>
  <c r="D33" i="3"/>
  <c r="B33" i="3"/>
  <c r="S32" i="3"/>
  <c r="J29" i="2" s="1"/>
  <c r="Q32" i="3"/>
  <c r="L32" i="3"/>
  <c r="K32" i="3"/>
  <c r="I32" i="3"/>
  <c r="P32" i="3"/>
  <c r="N32" i="3"/>
  <c r="H32" i="3"/>
  <c r="F32" i="3"/>
  <c r="D32" i="3"/>
  <c r="B32" i="3"/>
  <c r="S31" i="3"/>
  <c r="J28" i="2" s="1"/>
  <c r="Q31" i="3"/>
  <c r="L31" i="3"/>
  <c r="K31" i="3"/>
  <c r="I31" i="3"/>
  <c r="P31" i="3"/>
  <c r="N31" i="3"/>
  <c r="H31" i="3"/>
  <c r="F31" i="3"/>
  <c r="D31" i="3"/>
  <c r="B31" i="3"/>
  <c r="S30" i="3"/>
  <c r="J27" i="2" s="1"/>
  <c r="Q30" i="3"/>
  <c r="L30" i="3"/>
  <c r="K30" i="3"/>
  <c r="I30" i="3"/>
  <c r="P30" i="3"/>
  <c r="N30" i="3"/>
  <c r="H30" i="3"/>
  <c r="F30" i="3"/>
  <c r="D30" i="3"/>
  <c r="B30" i="3"/>
  <c r="S29" i="3"/>
  <c r="J26" i="2" s="1"/>
  <c r="Q29" i="3"/>
  <c r="L29" i="3"/>
  <c r="K29" i="3"/>
  <c r="I29" i="3"/>
  <c r="P29" i="3"/>
  <c r="N29" i="3"/>
  <c r="H29" i="3"/>
  <c r="F29" i="3"/>
  <c r="D29" i="3"/>
  <c r="B29" i="3"/>
  <c r="S28" i="3"/>
  <c r="J25" i="2" s="1"/>
  <c r="Q28" i="3"/>
  <c r="L28" i="3"/>
  <c r="K28" i="3"/>
  <c r="I28" i="3"/>
  <c r="P28" i="3"/>
  <c r="N28" i="3"/>
  <c r="H28" i="3"/>
  <c r="F28" i="3"/>
  <c r="D28" i="3"/>
  <c r="B28" i="3"/>
  <c r="S27" i="3"/>
  <c r="J24" i="2" s="1"/>
  <c r="Q27" i="3"/>
  <c r="L27" i="3"/>
  <c r="K27" i="3"/>
  <c r="I27" i="3"/>
  <c r="P27" i="3"/>
  <c r="N27" i="3"/>
  <c r="H27" i="3"/>
  <c r="F27" i="3"/>
  <c r="D27" i="3"/>
  <c r="B27" i="3"/>
  <c r="S26" i="3"/>
  <c r="J23" i="2" s="1"/>
  <c r="Q26" i="3"/>
  <c r="L26" i="3"/>
  <c r="K26" i="3"/>
  <c r="I26" i="3"/>
  <c r="P26" i="3"/>
  <c r="N26" i="3"/>
  <c r="H26" i="3"/>
  <c r="F26" i="3"/>
  <c r="D26" i="3"/>
  <c r="B26" i="3"/>
  <c r="S25" i="3"/>
  <c r="J22" i="2" s="1"/>
  <c r="Q25" i="3"/>
  <c r="L25" i="3"/>
  <c r="K25" i="3"/>
  <c r="I25" i="3"/>
  <c r="P25" i="3"/>
  <c r="N25" i="3"/>
  <c r="H25" i="3"/>
  <c r="F25" i="3"/>
  <c r="D25" i="3"/>
  <c r="B25" i="3"/>
  <c r="S24" i="3"/>
  <c r="J21" i="2" s="1"/>
  <c r="Q24" i="3"/>
  <c r="L24" i="3"/>
  <c r="K24" i="3"/>
  <c r="I24" i="3"/>
  <c r="P24" i="3"/>
  <c r="N24" i="3"/>
  <c r="H24" i="3"/>
  <c r="F24" i="3"/>
  <c r="D24" i="3"/>
  <c r="B24" i="3"/>
  <c r="S23" i="3"/>
  <c r="J20" i="2" s="1"/>
  <c r="Q23" i="3"/>
  <c r="L23" i="3"/>
  <c r="K23" i="3"/>
  <c r="I23" i="3"/>
  <c r="P23" i="3"/>
  <c r="N23" i="3"/>
  <c r="H23" i="3"/>
  <c r="F23" i="3"/>
  <c r="D23" i="3"/>
  <c r="B23" i="3"/>
  <c r="S22" i="3"/>
  <c r="J19" i="2" s="1"/>
  <c r="Q22" i="3"/>
  <c r="L22" i="3"/>
  <c r="K22" i="3"/>
  <c r="I22" i="3"/>
  <c r="P22" i="3"/>
  <c r="N22" i="3"/>
  <c r="H22" i="3"/>
  <c r="F22" i="3"/>
  <c r="D22" i="3"/>
  <c r="B22" i="3"/>
  <c r="S21" i="3"/>
  <c r="J18" i="2" s="1"/>
  <c r="Q21" i="3"/>
  <c r="L21" i="3"/>
  <c r="K21" i="3"/>
  <c r="I21" i="3"/>
  <c r="P21" i="3"/>
  <c r="N21" i="3"/>
  <c r="H21" i="3"/>
  <c r="F21" i="3"/>
  <c r="D21" i="3"/>
  <c r="B21" i="3"/>
  <c r="S20" i="3"/>
  <c r="J17" i="2" s="1"/>
  <c r="Q20" i="3"/>
  <c r="L20" i="3"/>
  <c r="K20" i="3"/>
  <c r="I20" i="3"/>
  <c r="P20" i="3"/>
  <c r="N20" i="3"/>
  <c r="H20" i="3"/>
  <c r="F20" i="3"/>
  <c r="D20" i="3"/>
  <c r="B20" i="3"/>
  <c r="S19" i="3"/>
  <c r="J16" i="2" s="1"/>
  <c r="Q19" i="3"/>
  <c r="L19" i="3"/>
  <c r="K19" i="3"/>
  <c r="I19" i="3"/>
  <c r="P19" i="3"/>
  <c r="N19" i="3"/>
  <c r="H19" i="3"/>
  <c r="F19" i="3"/>
  <c r="D19" i="3"/>
  <c r="B19" i="3"/>
  <c r="S18" i="3"/>
  <c r="J15" i="2" s="1"/>
  <c r="Q18" i="3"/>
  <c r="L18" i="3"/>
  <c r="K18" i="3"/>
  <c r="I18" i="3"/>
  <c r="P18" i="3"/>
  <c r="N18" i="3"/>
  <c r="H18" i="3"/>
  <c r="F18" i="3"/>
  <c r="D18" i="3"/>
  <c r="B18" i="3"/>
  <c r="S17" i="3"/>
  <c r="J14" i="2" s="1"/>
  <c r="Q17" i="3"/>
  <c r="L17" i="3"/>
  <c r="K17" i="3"/>
  <c r="I17" i="3"/>
  <c r="P17" i="3"/>
  <c r="N17" i="3"/>
  <c r="H17" i="3"/>
  <c r="F17" i="3"/>
  <c r="D17" i="3"/>
  <c r="B17" i="3"/>
  <c r="S16" i="3"/>
  <c r="J13" i="2" s="1"/>
  <c r="Q16" i="3"/>
  <c r="L16" i="3"/>
  <c r="K16" i="3"/>
  <c r="I16" i="3"/>
  <c r="P16" i="3"/>
  <c r="N16" i="3"/>
  <c r="H16" i="3"/>
  <c r="F16" i="3"/>
  <c r="D16" i="3"/>
  <c r="B16" i="3"/>
  <c r="S15" i="3"/>
  <c r="J12" i="2" s="1"/>
  <c r="Q15" i="3"/>
  <c r="L15" i="3"/>
  <c r="K15" i="3"/>
  <c r="I15" i="3"/>
  <c r="P15" i="3"/>
  <c r="N15" i="3"/>
  <c r="H15" i="3"/>
  <c r="F15" i="3"/>
  <c r="D15" i="3"/>
  <c r="B15" i="3"/>
  <c r="S14" i="3"/>
  <c r="J11" i="2" s="1"/>
  <c r="Q14" i="3"/>
  <c r="L14" i="3"/>
  <c r="K14" i="3"/>
  <c r="I14" i="3"/>
  <c r="P14" i="3"/>
  <c r="N14" i="3"/>
  <c r="H14" i="3"/>
  <c r="F14" i="3"/>
  <c r="D14" i="3"/>
  <c r="B14" i="3"/>
  <c r="S13" i="3"/>
  <c r="J10" i="2" s="1"/>
  <c r="Q13" i="3"/>
  <c r="L13" i="3"/>
  <c r="K13" i="3"/>
  <c r="I13" i="3"/>
  <c r="P13" i="3"/>
  <c r="N13" i="3"/>
  <c r="H13" i="3"/>
  <c r="F13" i="3"/>
  <c r="D13" i="3"/>
  <c r="B13" i="3"/>
  <c r="S12" i="3"/>
  <c r="J9" i="2" s="1"/>
  <c r="Q12" i="3"/>
  <c r="L12" i="3"/>
  <c r="K12" i="3"/>
  <c r="I12" i="3"/>
  <c r="P12" i="3"/>
  <c r="N12" i="3"/>
  <c r="H12" i="3"/>
  <c r="F12" i="3"/>
  <c r="D12" i="3"/>
  <c r="B12" i="3"/>
  <c r="S11" i="3"/>
  <c r="J8" i="2" s="1"/>
  <c r="Q11" i="3"/>
  <c r="L11" i="3"/>
  <c r="K11" i="3"/>
  <c r="I11" i="3"/>
  <c r="P11" i="3"/>
  <c r="N11" i="3"/>
  <c r="H11" i="3"/>
  <c r="F11" i="3"/>
  <c r="D11" i="3"/>
  <c r="B11" i="3"/>
  <c r="S10" i="3"/>
  <c r="J7" i="2" s="1"/>
  <c r="Q10" i="3"/>
  <c r="L10" i="3"/>
  <c r="K10" i="3"/>
  <c r="I10" i="3"/>
  <c r="P10" i="3"/>
  <c r="N10" i="3"/>
  <c r="H10" i="3"/>
  <c r="F10" i="3"/>
  <c r="D10" i="3"/>
  <c r="B10" i="3"/>
  <c r="S9" i="3"/>
  <c r="J6" i="2" s="1"/>
  <c r="Q9" i="3"/>
  <c r="L9" i="3"/>
  <c r="K9" i="3"/>
  <c r="I9" i="3"/>
  <c r="P9" i="3"/>
  <c r="N9" i="3"/>
  <c r="H9" i="3"/>
  <c r="F9" i="3"/>
  <c r="D9" i="3"/>
  <c r="B9" i="3"/>
  <c r="S8" i="3"/>
  <c r="J5" i="2" s="1"/>
  <c r="Q8" i="3"/>
  <c r="L8" i="3"/>
  <c r="K8" i="3"/>
  <c r="I8" i="3"/>
  <c r="P8" i="3"/>
  <c r="N8" i="3"/>
  <c r="H8" i="3"/>
  <c r="F8" i="3"/>
  <c r="D8" i="3"/>
  <c r="B8" i="3"/>
  <c r="S7" i="3"/>
  <c r="J4" i="2" s="1"/>
  <c r="Q7" i="3"/>
  <c r="L7" i="3"/>
  <c r="K7" i="3"/>
  <c r="I7" i="3"/>
  <c r="P7" i="3"/>
  <c r="N7" i="3"/>
  <c r="H7" i="3"/>
  <c r="F7" i="3"/>
  <c r="D7" i="3"/>
  <c r="B7" i="3"/>
  <c r="S6" i="3"/>
  <c r="J3" i="2" s="1"/>
  <c r="Q6" i="3"/>
  <c r="L6" i="3"/>
  <c r="K6" i="3"/>
  <c r="I6" i="3"/>
  <c r="P6" i="3"/>
  <c r="N6" i="3"/>
  <c r="H6" i="3"/>
  <c r="F6" i="3"/>
  <c r="D6" i="3"/>
  <c r="B6" i="3"/>
  <c r="S5" i="3"/>
  <c r="Q5" i="3"/>
  <c r="L5" i="3"/>
  <c r="K5" i="3"/>
  <c r="I5" i="3"/>
  <c r="P5" i="3"/>
  <c r="N5" i="3"/>
  <c r="H5" i="3"/>
  <c r="F5" i="3"/>
  <c r="D5" i="3"/>
  <c r="B5" i="3"/>
  <c r="Q4" i="3"/>
  <c r="L4" i="3"/>
  <c r="I4" i="3"/>
  <c r="N4" i="3"/>
  <c r="F4" i="3"/>
  <c r="D4" i="3"/>
  <c r="B880" i="2"/>
  <c r="D880" i="2"/>
  <c r="E880" i="2"/>
  <c r="G880" i="2"/>
  <c r="F880" i="2"/>
  <c r="H880" i="2"/>
  <c r="I880" i="2"/>
  <c r="B879" i="2"/>
  <c r="D879" i="2"/>
  <c r="E879" i="2"/>
  <c r="G879" i="2"/>
  <c r="F879" i="2"/>
  <c r="H879" i="2"/>
  <c r="I879" i="2"/>
  <c r="B878" i="2"/>
  <c r="D878" i="2"/>
  <c r="E878" i="2"/>
  <c r="G878" i="2"/>
  <c r="F878" i="2"/>
  <c r="H878" i="2"/>
  <c r="I878" i="2"/>
  <c r="B877" i="2"/>
  <c r="D877" i="2"/>
  <c r="E877" i="2"/>
  <c r="G877" i="2"/>
  <c r="F877" i="2"/>
  <c r="H877" i="2"/>
  <c r="I877" i="2"/>
  <c r="B876" i="2"/>
  <c r="D876" i="2"/>
  <c r="E876" i="2"/>
  <c r="G876" i="2"/>
  <c r="F876" i="2"/>
  <c r="H876" i="2"/>
  <c r="I876" i="2"/>
  <c r="B875" i="2"/>
  <c r="D875" i="2"/>
  <c r="E875" i="2"/>
  <c r="G875" i="2"/>
  <c r="F875" i="2"/>
  <c r="H875" i="2"/>
  <c r="I875" i="2"/>
  <c r="B874" i="2"/>
  <c r="D874" i="2"/>
  <c r="E874" i="2"/>
  <c r="G874" i="2"/>
  <c r="F874" i="2"/>
  <c r="H874" i="2"/>
  <c r="I874" i="2"/>
  <c r="B873" i="2"/>
  <c r="D873" i="2"/>
  <c r="E873" i="2"/>
  <c r="G873" i="2"/>
  <c r="F873" i="2"/>
  <c r="H873" i="2"/>
  <c r="I873" i="2"/>
  <c r="B872" i="2"/>
  <c r="D872" i="2"/>
  <c r="E872" i="2"/>
  <c r="G872" i="2"/>
  <c r="F872" i="2"/>
  <c r="H872" i="2"/>
  <c r="I872" i="2"/>
  <c r="B871" i="2"/>
  <c r="D871" i="2"/>
  <c r="E871" i="2"/>
  <c r="G871" i="2"/>
  <c r="F871" i="2"/>
  <c r="H871" i="2"/>
  <c r="I871" i="2"/>
  <c r="B870" i="2"/>
  <c r="D870" i="2"/>
  <c r="E870" i="2"/>
  <c r="G870" i="2"/>
  <c r="F870" i="2"/>
  <c r="H870" i="2"/>
  <c r="I870" i="2"/>
  <c r="B869" i="2"/>
  <c r="D869" i="2"/>
  <c r="E869" i="2"/>
  <c r="G869" i="2"/>
  <c r="F869" i="2"/>
  <c r="H869" i="2"/>
  <c r="I869" i="2"/>
  <c r="B868" i="2"/>
  <c r="D868" i="2"/>
  <c r="E868" i="2"/>
  <c r="G868" i="2"/>
  <c r="F868" i="2"/>
  <c r="H868" i="2"/>
  <c r="I868" i="2"/>
  <c r="B867" i="2"/>
  <c r="D867" i="2"/>
  <c r="E867" i="2"/>
  <c r="G867" i="2"/>
  <c r="F867" i="2"/>
  <c r="H867" i="2"/>
  <c r="I867" i="2"/>
  <c r="B866" i="2"/>
  <c r="D866" i="2"/>
  <c r="E866" i="2"/>
  <c r="G866" i="2"/>
  <c r="F866" i="2"/>
  <c r="H866" i="2"/>
  <c r="I866" i="2"/>
  <c r="B865" i="2"/>
  <c r="D865" i="2"/>
  <c r="E865" i="2"/>
  <c r="G865" i="2"/>
  <c r="F865" i="2"/>
  <c r="H865" i="2"/>
  <c r="I865" i="2"/>
  <c r="B864" i="2"/>
  <c r="D864" i="2"/>
  <c r="E864" i="2"/>
  <c r="G864" i="2"/>
  <c r="F864" i="2"/>
  <c r="H864" i="2"/>
  <c r="I864" i="2"/>
  <c r="B863" i="2"/>
  <c r="D863" i="2"/>
  <c r="E863" i="2"/>
  <c r="G863" i="2"/>
  <c r="F863" i="2"/>
  <c r="H863" i="2"/>
  <c r="I863" i="2"/>
  <c r="B862" i="2"/>
  <c r="D862" i="2"/>
  <c r="E862" i="2"/>
  <c r="G862" i="2"/>
  <c r="F862" i="2"/>
  <c r="H862" i="2"/>
  <c r="I862" i="2"/>
  <c r="B861" i="2"/>
  <c r="D861" i="2"/>
  <c r="E861" i="2"/>
  <c r="G861" i="2"/>
  <c r="F861" i="2"/>
  <c r="H861" i="2"/>
  <c r="I861" i="2"/>
  <c r="B860" i="2"/>
  <c r="D860" i="2"/>
  <c r="E860" i="2"/>
  <c r="G860" i="2"/>
  <c r="F860" i="2"/>
  <c r="H860" i="2"/>
  <c r="I860" i="2"/>
  <c r="B859" i="2"/>
  <c r="D859" i="2"/>
  <c r="E859" i="2"/>
  <c r="G859" i="2"/>
  <c r="F859" i="2"/>
  <c r="H859" i="2"/>
  <c r="I859" i="2"/>
  <c r="B858" i="2"/>
  <c r="D858" i="2"/>
  <c r="E858" i="2"/>
  <c r="G858" i="2"/>
  <c r="F858" i="2"/>
  <c r="H858" i="2"/>
  <c r="I858" i="2"/>
  <c r="B857" i="2"/>
  <c r="D857" i="2"/>
  <c r="E857" i="2"/>
  <c r="G857" i="2"/>
  <c r="F857" i="2"/>
  <c r="H857" i="2"/>
  <c r="I857" i="2"/>
  <c r="B856" i="2"/>
  <c r="D856" i="2"/>
  <c r="E856" i="2"/>
  <c r="G856" i="2"/>
  <c r="F856" i="2"/>
  <c r="H856" i="2"/>
  <c r="I856" i="2"/>
  <c r="B855" i="2"/>
  <c r="D855" i="2"/>
  <c r="E855" i="2"/>
  <c r="G855" i="2"/>
  <c r="F855" i="2"/>
  <c r="H855" i="2"/>
  <c r="I855" i="2"/>
  <c r="B854" i="2"/>
  <c r="D854" i="2"/>
  <c r="E854" i="2"/>
  <c r="G854" i="2"/>
  <c r="F854" i="2"/>
  <c r="H854" i="2"/>
  <c r="I854" i="2"/>
  <c r="B853" i="2"/>
  <c r="D853" i="2"/>
  <c r="E853" i="2"/>
  <c r="G853" i="2"/>
  <c r="F853" i="2"/>
  <c r="H853" i="2"/>
  <c r="I853" i="2"/>
  <c r="B852" i="2"/>
  <c r="D852" i="2"/>
  <c r="E852" i="2"/>
  <c r="G852" i="2"/>
  <c r="F852" i="2"/>
  <c r="H852" i="2"/>
  <c r="I852" i="2"/>
  <c r="B851" i="2"/>
  <c r="D851" i="2"/>
  <c r="E851" i="2"/>
  <c r="G851" i="2"/>
  <c r="F851" i="2"/>
  <c r="H851" i="2"/>
  <c r="I851" i="2"/>
  <c r="B850" i="2"/>
  <c r="D850" i="2"/>
  <c r="E850" i="2"/>
  <c r="G850" i="2"/>
  <c r="F850" i="2"/>
  <c r="H850" i="2"/>
  <c r="I850" i="2"/>
  <c r="B849" i="2"/>
  <c r="D849" i="2"/>
  <c r="E849" i="2"/>
  <c r="G849" i="2"/>
  <c r="F849" i="2"/>
  <c r="H849" i="2"/>
  <c r="I849" i="2"/>
  <c r="B848" i="2"/>
  <c r="D848" i="2"/>
  <c r="E848" i="2"/>
  <c r="G848" i="2"/>
  <c r="F848" i="2"/>
  <c r="H848" i="2"/>
  <c r="I848" i="2"/>
  <c r="B847" i="2"/>
  <c r="D847" i="2"/>
  <c r="E847" i="2"/>
  <c r="G847" i="2"/>
  <c r="F847" i="2"/>
  <c r="H847" i="2"/>
  <c r="I847" i="2"/>
  <c r="B846" i="2"/>
  <c r="D846" i="2"/>
  <c r="E846" i="2"/>
  <c r="G846" i="2"/>
  <c r="F846" i="2"/>
  <c r="H846" i="2"/>
  <c r="I846" i="2"/>
  <c r="B845" i="2"/>
  <c r="D845" i="2"/>
  <c r="E845" i="2"/>
  <c r="G845" i="2"/>
  <c r="F845" i="2"/>
  <c r="H845" i="2"/>
  <c r="I845" i="2"/>
  <c r="B844" i="2"/>
  <c r="D844" i="2"/>
  <c r="E844" i="2"/>
  <c r="G844" i="2"/>
  <c r="F844" i="2"/>
  <c r="H844" i="2"/>
  <c r="I844" i="2"/>
  <c r="B843" i="2"/>
  <c r="D843" i="2"/>
  <c r="E843" i="2"/>
  <c r="G843" i="2"/>
  <c r="F843" i="2"/>
  <c r="H843" i="2"/>
  <c r="I843" i="2"/>
  <c r="B842" i="2"/>
  <c r="D842" i="2"/>
  <c r="E842" i="2"/>
  <c r="G842" i="2"/>
  <c r="F842" i="2"/>
  <c r="H842" i="2"/>
  <c r="I842" i="2"/>
  <c r="B841" i="2"/>
  <c r="D841" i="2"/>
  <c r="E841" i="2"/>
  <c r="G841" i="2"/>
  <c r="F841" i="2"/>
  <c r="H841" i="2"/>
  <c r="I841" i="2"/>
  <c r="B840" i="2"/>
  <c r="D840" i="2"/>
  <c r="E840" i="2"/>
  <c r="G840" i="2"/>
  <c r="F840" i="2"/>
  <c r="H840" i="2"/>
  <c r="I840" i="2"/>
  <c r="B839" i="2"/>
  <c r="D839" i="2"/>
  <c r="E839" i="2"/>
  <c r="G839" i="2"/>
  <c r="F839" i="2"/>
  <c r="H839" i="2"/>
  <c r="I839" i="2"/>
  <c r="B838" i="2"/>
  <c r="D838" i="2"/>
  <c r="E838" i="2"/>
  <c r="G838" i="2"/>
  <c r="F838" i="2"/>
  <c r="H838" i="2"/>
  <c r="I838" i="2"/>
  <c r="B837" i="2"/>
  <c r="D837" i="2"/>
  <c r="E837" i="2"/>
  <c r="G837" i="2"/>
  <c r="F837" i="2"/>
  <c r="H837" i="2"/>
  <c r="I837" i="2"/>
  <c r="B836" i="2"/>
  <c r="D836" i="2"/>
  <c r="E836" i="2"/>
  <c r="G836" i="2"/>
  <c r="F836" i="2"/>
  <c r="H836" i="2"/>
  <c r="I836" i="2"/>
  <c r="B835" i="2"/>
  <c r="D835" i="2"/>
  <c r="E835" i="2"/>
  <c r="G835" i="2"/>
  <c r="F835" i="2"/>
  <c r="H835" i="2"/>
  <c r="I835" i="2"/>
  <c r="B834" i="2"/>
  <c r="D834" i="2"/>
  <c r="E834" i="2"/>
  <c r="G834" i="2"/>
  <c r="F834" i="2"/>
  <c r="H834" i="2"/>
  <c r="I834" i="2"/>
  <c r="B833" i="2"/>
  <c r="D833" i="2"/>
  <c r="E833" i="2"/>
  <c r="G833" i="2"/>
  <c r="F833" i="2"/>
  <c r="H833" i="2"/>
  <c r="I833" i="2"/>
  <c r="B832" i="2"/>
  <c r="D832" i="2"/>
  <c r="E832" i="2"/>
  <c r="G832" i="2"/>
  <c r="F832" i="2"/>
  <c r="H832" i="2"/>
  <c r="I832" i="2"/>
  <c r="B831" i="2"/>
  <c r="D831" i="2"/>
  <c r="E831" i="2"/>
  <c r="G831" i="2"/>
  <c r="F831" i="2"/>
  <c r="H831" i="2"/>
  <c r="I831" i="2"/>
  <c r="B830" i="2"/>
  <c r="D830" i="2"/>
  <c r="E830" i="2"/>
  <c r="G830" i="2"/>
  <c r="F830" i="2"/>
  <c r="H830" i="2"/>
  <c r="I830" i="2"/>
  <c r="B829" i="2"/>
  <c r="D829" i="2"/>
  <c r="E829" i="2"/>
  <c r="G829" i="2"/>
  <c r="F829" i="2"/>
  <c r="H829" i="2"/>
  <c r="I829" i="2"/>
  <c r="B828" i="2"/>
  <c r="D828" i="2"/>
  <c r="E828" i="2"/>
  <c r="G828" i="2"/>
  <c r="F828" i="2"/>
  <c r="H828" i="2"/>
  <c r="I828" i="2"/>
  <c r="B827" i="2"/>
  <c r="D827" i="2"/>
  <c r="E827" i="2"/>
  <c r="G827" i="2"/>
  <c r="F827" i="2"/>
  <c r="H827" i="2"/>
  <c r="I827" i="2"/>
  <c r="B826" i="2"/>
  <c r="D826" i="2"/>
  <c r="E826" i="2"/>
  <c r="G826" i="2"/>
  <c r="F826" i="2"/>
  <c r="H826" i="2"/>
  <c r="I826" i="2"/>
  <c r="B825" i="2"/>
  <c r="D825" i="2"/>
  <c r="E825" i="2"/>
  <c r="G825" i="2"/>
  <c r="F825" i="2"/>
  <c r="H825" i="2"/>
  <c r="I825" i="2"/>
  <c r="B824" i="2"/>
  <c r="D824" i="2"/>
  <c r="E824" i="2"/>
  <c r="G824" i="2"/>
  <c r="F824" i="2"/>
  <c r="H824" i="2"/>
  <c r="I824" i="2"/>
  <c r="B823" i="2"/>
  <c r="D823" i="2"/>
  <c r="E823" i="2"/>
  <c r="G823" i="2"/>
  <c r="F823" i="2"/>
  <c r="H823" i="2"/>
  <c r="I823" i="2"/>
  <c r="B822" i="2"/>
  <c r="D822" i="2"/>
  <c r="E822" i="2"/>
  <c r="G822" i="2"/>
  <c r="F822" i="2"/>
  <c r="H822" i="2"/>
  <c r="I822" i="2"/>
  <c r="B821" i="2"/>
  <c r="D821" i="2"/>
  <c r="E821" i="2"/>
  <c r="G821" i="2"/>
  <c r="F821" i="2"/>
  <c r="H821" i="2"/>
  <c r="I821" i="2"/>
  <c r="B820" i="2"/>
  <c r="D820" i="2"/>
  <c r="E820" i="2"/>
  <c r="G820" i="2"/>
  <c r="F820" i="2"/>
  <c r="H820" i="2"/>
  <c r="I820" i="2"/>
  <c r="B819" i="2"/>
  <c r="D819" i="2"/>
  <c r="E819" i="2"/>
  <c r="G819" i="2"/>
  <c r="F819" i="2"/>
  <c r="H819" i="2"/>
  <c r="I819" i="2"/>
  <c r="B818" i="2"/>
  <c r="D818" i="2"/>
  <c r="E818" i="2"/>
  <c r="G818" i="2"/>
  <c r="F818" i="2"/>
  <c r="H818" i="2"/>
  <c r="I818" i="2"/>
  <c r="B817" i="2"/>
  <c r="D817" i="2"/>
  <c r="E817" i="2"/>
  <c r="G817" i="2"/>
  <c r="F817" i="2"/>
  <c r="H817" i="2"/>
  <c r="I817" i="2"/>
  <c r="B816" i="2"/>
  <c r="D816" i="2"/>
  <c r="E816" i="2"/>
  <c r="G816" i="2"/>
  <c r="F816" i="2"/>
  <c r="H816" i="2"/>
  <c r="I816" i="2"/>
  <c r="B815" i="2"/>
  <c r="D815" i="2"/>
  <c r="E815" i="2"/>
  <c r="G815" i="2"/>
  <c r="F815" i="2"/>
  <c r="H815" i="2"/>
  <c r="I815" i="2"/>
  <c r="B814" i="2"/>
  <c r="D814" i="2"/>
  <c r="E814" i="2"/>
  <c r="G814" i="2"/>
  <c r="F814" i="2"/>
  <c r="H814" i="2"/>
  <c r="I814" i="2"/>
  <c r="B813" i="2"/>
  <c r="D813" i="2"/>
  <c r="E813" i="2"/>
  <c r="G813" i="2"/>
  <c r="F813" i="2"/>
  <c r="H813" i="2"/>
  <c r="I813" i="2"/>
  <c r="B812" i="2"/>
  <c r="D812" i="2"/>
  <c r="E812" i="2"/>
  <c r="G812" i="2"/>
  <c r="F812" i="2"/>
  <c r="H812" i="2"/>
  <c r="I812" i="2"/>
  <c r="B811" i="2"/>
  <c r="D811" i="2"/>
  <c r="E811" i="2"/>
  <c r="G811" i="2"/>
  <c r="F811" i="2"/>
  <c r="H811" i="2"/>
  <c r="I811" i="2"/>
  <c r="B810" i="2"/>
  <c r="D810" i="2"/>
  <c r="E810" i="2"/>
  <c r="G810" i="2"/>
  <c r="F810" i="2"/>
  <c r="H810" i="2"/>
  <c r="I810" i="2"/>
  <c r="B809" i="2"/>
  <c r="D809" i="2"/>
  <c r="E809" i="2"/>
  <c r="G809" i="2"/>
  <c r="F809" i="2"/>
  <c r="H809" i="2"/>
  <c r="I809" i="2"/>
  <c r="B808" i="2"/>
  <c r="D808" i="2"/>
  <c r="E808" i="2"/>
  <c r="G808" i="2"/>
  <c r="F808" i="2"/>
  <c r="H808" i="2"/>
  <c r="I808" i="2"/>
  <c r="B807" i="2"/>
  <c r="D807" i="2"/>
  <c r="E807" i="2"/>
  <c r="G807" i="2"/>
  <c r="F807" i="2"/>
  <c r="H807" i="2"/>
  <c r="I807" i="2"/>
  <c r="B806" i="2"/>
  <c r="D806" i="2"/>
  <c r="E806" i="2"/>
  <c r="G806" i="2"/>
  <c r="F806" i="2"/>
  <c r="H806" i="2"/>
  <c r="I806" i="2"/>
  <c r="B805" i="2"/>
  <c r="D805" i="2"/>
  <c r="E805" i="2"/>
  <c r="G805" i="2"/>
  <c r="F805" i="2"/>
  <c r="H805" i="2"/>
  <c r="I805" i="2"/>
  <c r="B804" i="2"/>
  <c r="D804" i="2"/>
  <c r="E804" i="2"/>
  <c r="G804" i="2"/>
  <c r="F804" i="2"/>
  <c r="H804" i="2"/>
  <c r="I804" i="2"/>
  <c r="B803" i="2"/>
  <c r="D803" i="2"/>
  <c r="E803" i="2"/>
  <c r="G803" i="2"/>
  <c r="F803" i="2"/>
  <c r="H803" i="2"/>
  <c r="I803" i="2"/>
  <c r="B802" i="2"/>
  <c r="D802" i="2"/>
  <c r="E802" i="2"/>
  <c r="G802" i="2"/>
  <c r="F802" i="2"/>
  <c r="H802" i="2"/>
  <c r="I802" i="2"/>
  <c r="B801" i="2"/>
  <c r="D801" i="2"/>
  <c r="E801" i="2"/>
  <c r="G801" i="2"/>
  <c r="F801" i="2"/>
  <c r="H801" i="2"/>
  <c r="I801" i="2"/>
  <c r="B800" i="2"/>
  <c r="D800" i="2"/>
  <c r="E800" i="2"/>
  <c r="G800" i="2"/>
  <c r="F800" i="2"/>
  <c r="H800" i="2"/>
  <c r="I800" i="2"/>
  <c r="B799" i="2"/>
  <c r="D799" i="2"/>
  <c r="E799" i="2"/>
  <c r="G799" i="2"/>
  <c r="F799" i="2"/>
  <c r="H799" i="2"/>
  <c r="I799" i="2"/>
  <c r="B798" i="2"/>
  <c r="D798" i="2"/>
  <c r="E798" i="2"/>
  <c r="G798" i="2"/>
  <c r="F798" i="2"/>
  <c r="H798" i="2"/>
  <c r="I798" i="2"/>
  <c r="B797" i="2"/>
  <c r="D797" i="2"/>
  <c r="E797" i="2"/>
  <c r="G797" i="2"/>
  <c r="F797" i="2"/>
  <c r="H797" i="2"/>
  <c r="I797" i="2"/>
  <c r="B796" i="2"/>
  <c r="D796" i="2"/>
  <c r="E796" i="2"/>
  <c r="G796" i="2"/>
  <c r="F796" i="2"/>
  <c r="H796" i="2"/>
  <c r="I796" i="2"/>
  <c r="B795" i="2"/>
  <c r="D795" i="2"/>
  <c r="E795" i="2"/>
  <c r="G795" i="2"/>
  <c r="F795" i="2"/>
  <c r="H795" i="2"/>
  <c r="I795" i="2"/>
  <c r="B794" i="2"/>
  <c r="D794" i="2"/>
  <c r="E794" i="2"/>
  <c r="G794" i="2"/>
  <c r="F794" i="2"/>
  <c r="H794" i="2"/>
  <c r="I794" i="2"/>
  <c r="B793" i="2"/>
  <c r="D793" i="2"/>
  <c r="E793" i="2"/>
  <c r="G793" i="2"/>
  <c r="F793" i="2"/>
  <c r="H793" i="2"/>
  <c r="I793" i="2"/>
  <c r="B792" i="2"/>
  <c r="D792" i="2"/>
  <c r="E792" i="2"/>
  <c r="G792" i="2"/>
  <c r="F792" i="2"/>
  <c r="H792" i="2"/>
  <c r="I792" i="2"/>
  <c r="B791" i="2"/>
  <c r="D791" i="2"/>
  <c r="E791" i="2"/>
  <c r="G791" i="2"/>
  <c r="F791" i="2"/>
  <c r="H791" i="2"/>
  <c r="I791" i="2"/>
  <c r="B790" i="2"/>
  <c r="D790" i="2"/>
  <c r="E790" i="2"/>
  <c r="G790" i="2"/>
  <c r="F790" i="2"/>
  <c r="H790" i="2"/>
  <c r="I790" i="2"/>
  <c r="B789" i="2"/>
  <c r="D789" i="2"/>
  <c r="E789" i="2"/>
  <c r="G789" i="2"/>
  <c r="F789" i="2"/>
  <c r="H789" i="2"/>
  <c r="I789" i="2"/>
  <c r="B788" i="2"/>
  <c r="D788" i="2"/>
  <c r="E788" i="2"/>
  <c r="G788" i="2"/>
  <c r="F788" i="2"/>
  <c r="H788" i="2"/>
  <c r="I788" i="2"/>
  <c r="B787" i="2"/>
  <c r="D787" i="2"/>
  <c r="E787" i="2"/>
  <c r="G787" i="2"/>
  <c r="F787" i="2"/>
  <c r="H787" i="2"/>
  <c r="I787" i="2"/>
  <c r="B786" i="2"/>
  <c r="D786" i="2"/>
  <c r="E786" i="2"/>
  <c r="G786" i="2"/>
  <c r="F786" i="2"/>
  <c r="H786" i="2"/>
  <c r="I786" i="2"/>
  <c r="B785" i="2"/>
  <c r="D785" i="2"/>
  <c r="E785" i="2"/>
  <c r="G785" i="2"/>
  <c r="F785" i="2"/>
  <c r="H785" i="2"/>
  <c r="I785" i="2"/>
  <c r="B784" i="2"/>
  <c r="D784" i="2"/>
  <c r="E784" i="2"/>
  <c r="G784" i="2"/>
  <c r="F784" i="2"/>
  <c r="H784" i="2"/>
  <c r="I784" i="2"/>
  <c r="B783" i="2"/>
  <c r="D783" i="2"/>
  <c r="E783" i="2"/>
  <c r="G783" i="2"/>
  <c r="F783" i="2"/>
  <c r="H783" i="2"/>
  <c r="I783" i="2"/>
  <c r="B782" i="2"/>
  <c r="D782" i="2"/>
  <c r="E782" i="2"/>
  <c r="G782" i="2"/>
  <c r="F782" i="2"/>
  <c r="H782" i="2"/>
  <c r="I782" i="2"/>
  <c r="B781" i="2"/>
  <c r="D781" i="2"/>
  <c r="E781" i="2"/>
  <c r="G781" i="2"/>
  <c r="F781" i="2"/>
  <c r="H781" i="2"/>
  <c r="I781" i="2"/>
  <c r="B780" i="2"/>
  <c r="D780" i="2"/>
  <c r="E780" i="2"/>
  <c r="G780" i="2"/>
  <c r="F780" i="2"/>
  <c r="H780" i="2"/>
  <c r="I780" i="2"/>
  <c r="B779" i="2"/>
  <c r="D779" i="2"/>
  <c r="E779" i="2"/>
  <c r="G779" i="2"/>
  <c r="F779" i="2"/>
  <c r="H779" i="2"/>
  <c r="I779" i="2"/>
  <c r="B778" i="2"/>
  <c r="D778" i="2"/>
  <c r="E778" i="2"/>
  <c r="G778" i="2"/>
  <c r="F778" i="2"/>
  <c r="H778" i="2"/>
  <c r="I778" i="2"/>
  <c r="B777" i="2"/>
  <c r="D777" i="2"/>
  <c r="E777" i="2"/>
  <c r="G777" i="2"/>
  <c r="F777" i="2"/>
  <c r="H777" i="2"/>
  <c r="I777" i="2"/>
  <c r="B776" i="2"/>
  <c r="D776" i="2"/>
  <c r="E776" i="2"/>
  <c r="G776" i="2"/>
  <c r="F776" i="2"/>
  <c r="H776" i="2"/>
  <c r="I776" i="2"/>
  <c r="B775" i="2"/>
  <c r="D775" i="2"/>
  <c r="E775" i="2"/>
  <c r="G775" i="2"/>
  <c r="F775" i="2"/>
  <c r="H775" i="2"/>
  <c r="I775" i="2"/>
  <c r="B774" i="2"/>
  <c r="D774" i="2"/>
  <c r="E774" i="2"/>
  <c r="G774" i="2"/>
  <c r="F774" i="2"/>
  <c r="H774" i="2"/>
  <c r="I774" i="2"/>
  <c r="B773" i="2"/>
  <c r="D773" i="2"/>
  <c r="E773" i="2"/>
  <c r="G773" i="2"/>
  <c r="F773" i="2"/>
  <c r="H773" i="2"/>
  <c r="I773" i="2"/>
  <c r="B772" i="2"/>
  <c r="D772" i="2"/>
  <c r="E772" i="2"/>
  <c r="G772" i="2"/>
  <c r="F772" i="2"/>
  <c r="H772" i="2"/>
  <c r="I772" i="2"/>
  <c r="B771" i="2"/>
  <c r="D771" i="2"/>
  <c r="E771" i="2"/>
  <c r="G771" i="2"/>
  <c r="F771" i="2"/>
  <c r="H771" i="2"/>
  <c r="I771" i="2"/>
  <c r="B770" i="2"/>
  <c r="D770" i="2"/>
  <c r="E770" i="2"/>
  <c r="G770" i="2"/>
  <c r="F770" i="2"/>
  <c r="H770" i="2"/>
  <c r="I770" i="2"/>
  <c r="B769" i="2"/>
  <c r="D769" i="2"/>
  <c r="E769" i="2"/>
  <c r="G769" i="2"/>
  <c r="F769" i="2"/>
  <c r="H769" i="2"/>
  <c r="I769" i="2"/>
  <c r="B768" i="2"/>
  <c r="D768" i="2"/>
  <c r="E768" i="2"/>
  <c r="G768" i="2"/>
  <c r="F768" i="2"/>
  <c r="H768" i="2"/>
  <c r="I768" i="2"/>
  <c r="B767" i="2"/>
  <c r="D767" i="2"/>
  <c r="E767" i="2"/>
  <c r="G767" i="2"/>
  <c r="F767" i="2"/>
  <c r="H767" i="2"/>
  <c r="I767" i="2"/>
  <c r="B766" i="2"/>
  <c r="D766" i="2"/>
  <c r="E766" i="2"/>
  <c r="G766" i="2"/>
  <c r="F766" i="2"/>
  <c r="H766" i="2"/>
  <c r="I766" i="2"/>
  <c r="B765" i="2"/>
  <c r="D765" i="2"/>
  <c r="E765" i="2"/>
  <c r="G765" i="2"/>
  <c r="F765" i="2"/>
  <c r="H765" i="2"/>
  <c r="I765" i="2"/>
  <c r="B764" i="2"/>
  <c r="D764" i="2"/>
  <c r="E764" i="2"/>
  <c r="G764" i="2"/>
  <c r="F764" i="2"/>
  <c r="H764" i="2"/>
  <c r="I764" i="2"/>
  <c r="B763" i="2"/>
  <c r="D763" i="2"/>
  <c r="E763" i="2"/>
  <c r="G763" i="2"/>
  <c r="F763" i="2"/>
  <c r="H763" i="2"/>
  <c r="I763" i="2"/>
  <c r="B762" i="2"/>
  <c r="D762" i="2"/>
  <c r="E762" i="2"/>
  <c r="G762" i="2"/>
  <c r="F762" i="2"/>
  <c r="H762" i="2"/>
  <c r="I762" i="2"/>
  <c r="B761" i="2"/>
  <c r="D761" i="2"/>
  <c r="E761" i="2"/>
  <c r="G761" i="2"/>
  <c r="F761" i="2"/>
  <c r="H761" i="2"/>
  <c r="I761" i="2"/>
  <c r="B760" i="2"/>
  <c r="D760" i="2"/>
  <c r="E760" i="2"/>
  <c r="G760" i="2"/>
  <c r="F760" i="2"/>
  <c r="H760" i="2"/>
  <c r="I760" i="2"/>
  <c r="B759" i="2"/>
  <c r="D759" i="2"/>
  <c r="E759" i="2"/>
  <c r="G759" i="2"/>
  <c r="F759" i="2"/>
  <c r="H759" i="2"/>
  <c r="I759" i="2"/>
  <c r="B758" i="2"/>
  <c r="D758" i="2"/>
  <c r="E758" i="2"/>
  <c r="G758" i="2"/>
  <c r="F758" i="2"/>
  <c r="H758" i="2"/>
  <c r="I758" i="2"/>
  <c r="B757" i="2"/>
  <c r="D757" i="2"/>
  <c r="E757" i="2"/>
  <c r="G757" i="2"/>
  <c r="F757" i="2"/>
  <c r="H757" i="2"/>
  <c r="I757" i="2"/>
  <c r="B756" i="2"/>
  <c r="D756" i="2"/>
  <c r="E756" i="2"/>
  <c r="G756" i="2"/>
  <c r="F756" i="2"/>
  <c r="H756" i="2"/>
  <c r="I756" i="2"/>
  <c r="B755" i="2"/>
  <c r="D755" i="2"/>
  <c r="E755" i="2"/>
  <c r="G755" i="2"/>
  <c r="F755" i="2"/>
  <c r="H755" i="2"/>
  <c r="I755" i="2"/>
  <c r="B754" i="2"/>
  <c r="D754" i="2"/>
  <c r="E754" i="2"/>
  <c r="G754" i="2"/>
  <c r="F754" i="2"/>
  <c r="H754" i="2"/>
  <c r="I754" i="2"/>
  <c r="B753" i="2"/>
  <c r="D753" i="2"/>
  <c r="E753" i="2"/>
  <c r="G753" i="2"/>
  <c r="F753" i="2"/>
  <c r="H753" i="2"/>
  <c r="I753" i="2"/>
  <c r="B752" i="2"/>
  <c r="D752" i="2"/>
  <c r="E752" i="2"/>
  <c r="G752" i="2"/>
  <c r="F752" i="2"/>
  <c r="H752" i="2"/>
  <c r="I752" i="2"/>
  <c r="B751" i="2"/>
  <c r="D751" i="2"/>
  <c r="E751" i="2"/>
  <c r="G751" i="2"/>
  <c r="F751" i="2"/>
  <c r="H751" i="2"/>
  <c r="I751" i="2"/>
  <c r="B750" i="2"/>
  <c r="D750" i="2"/>
  <c r="E750" i="2"/>
  <c r="G750" i="2"/>
  <c r="F750" i="2"/>
  <c r="H750" i="2"/>
  <c r="I750" i="2"/>
  <c r="B749" i="2"/>
  <c r="D749" i="2"/>
  <c r="E749" i="2"/>
  <c r="G749" i="2"/>
  <c r="F749" i="2"/>
  <c r="H749" i="2"/>
  <c r="I749" i="2"/>
  <c r="B748" i="2"/>
  <c r="D748" i="2"/>
  <c r="E748" i="2"/>
  <c r="G748" i="2"/>
  <c r="F748" i="2"/>
  <c r="H748" i="2"/>
  <c r="I748" i="2"/>
  <c r="B747" i="2"/>
  <c r="D747" i="2"/>
  <c r="E747" i="2"/>
  <c r="G747" i="2"/>
  <c r="F747" i="2"/>
  <c r="H747" i="2"/>
  <c r="I747" i="2"/>
  <c r="B746" i="2"/>
  <c r="D746" i="2"/>
  <c r="E746" i="2"/>
  <c r="G746" i="2"/>
  <c r="F746" i="2"/>
  <c r="H746" i="2"/>
  <c r="I746" i="2"/>
  <c r="B745" i="2"/>
  <c r="D745" i="2"/>
  <c r="E745" i="2"/>
  <c r="G745" i="2"/>
  <c r="F745" i="2"/>
  <c r="H745" i="2"/>
  <c r="I745" i="2"/>
  <c r="B744" i="2"/>
  <c r="D744" i="2"/>
  <c r="E744" i="2"/>
  <c r="G744" i="2"/>
  <c r="F744" i="2"/>
  <c r="H744" i="2"/>
  <c r="I744" i="2"/>
  <c r="B743" i="2"/>
  <c r="D743" i="2"/>
  <c r="E743" i="2"/>
  <c r="G743" i="2"/>
  <c r="F743" i="2"/>
  <c r="H743" i="2"/>
  <c r="I743" i="2"/>
  <c r="B742" i="2"/>
  <c r="D742" i="2"/>
  <c r="E742" i="2"/>
  <c r="G742" i="2"/>
  <c r="F742" i="2"/>
  <c r="H742" i="2"/>
  <c r="I742" i="2"/>
  <c r="B741" i="2"/>
  <c r="D741" i="2"/>
  <c r="E741" i="2"/>
  <c r="G741" i="2"/>
  <c r="F741" i="2"/>
  <c r="H741" i="2"/>
  <c r="I741" i="2"/>
  <c r="B740" i="2"/>
  <c r="D740" i="2"/>
  <c r="E740" i="2"/>
  <c r="G740" i="2"/>
  <c r="F740" i="2"/>
  <c r="H740" i="2"/>
  <c r="I740" i="2"/>
  <c r="B739" i="2"/>
  <c r="D739" i="2"/>
  <c r="E739" i="2"/>
  <c r="G739" i="2"/>
  <c r="F739" i="2"/>
  <c r="H739" i="2"/>
  <c r="I739" i="2"/>
  <c r="B738" i="2"/>
  <c r="D738" i="2"/>
  <c r="E738" i="2"/>
  <c r="G738" i="2"/>
  <c r="F738" i="2"/>
  <c r="H738" i="2"/>
  <c r="I738" i="2"/>
  <c r="B737" i="2"/>
  <c r="D737" i="2"/>
  <c r="E737" i="2"/>
  <c r="G737" i="2"/>
  <c r="F737" i="2"/>
  <c r="H737" i="2"/>
  <c r="I737" i="2"/>
  <c r="B736" i="2"/>
  <c r="D736" i="2"/>
  <c r="E736" i="2"/>
  <c r="G736" i="2"/>
  <c r="F736" i="2"/>
  <c r="H736" i="2"/>
  <c r="I736" i="2"/>
  <c r="B735" i="2"/>
  <c r="D735" i="2"/>
  <c r="E735" i="2"/>
  <c r="G735" i="2"/>
  <c r="F735" i="2"/>
  <c r="H735" i="2"/>
  <c r="I735" i="2"/>
  <c r="B734" i="2"/>
  <c r="D734" i="2"/>
  <c r="E734" i="2"/>
  <c r="G734" i="2"/>
  <c r="F734" i="2"/>
  <c r="H734" i="2"/>
  <c r="I734" i="2"/>
  <c r="B733" i="2"/>
  <c r="D733" i="2"/>
  <c r="E733" i="2"/>
  <c r="G733" i="2"/>
  <c r="F733" i="2"/>
  <c r="H733" i="2"/>
  <c r="I733" i="2"/>
  <c r="B732" i="2"/>
  <c r="D732" i="2"/>
  <c r="E732" i="2"/>
  <c r="G732" i="2"/>
  <c r="F732" i="2"/>
  <c r="H732" i="2"/>
  <c r="I732" i="2"/>
  <c r="B731" i="2"/>
  <c r="D731" i="2"/>
  <c r="E731" i="2"/>
  <c r="G731" i="2"/>
  <c r="F731" i="2"/>
  <c r="H731" i="2"/>
  <c r="I731" i="2"/>
  <c r="B730" i="2"/>
  <c r="D730" i="2"/>
  <c r="E730" i="2"/>
  <c r="G730" i="2"/>
  <c r="F730" i="2"/>
  <c r="H730" i="2"/>
  <c r="I730" i="2"/>
  <c r="B729" i="2"/>
  <c r="D729" i="2"/>
  <c r="E729" i="2"/>
  <c r="G729" i="2"/>
  <c r="F729" i="2"/>
  <c r="H729" i="2"/>
  <c r="I729" i="2"/>
  <c r="B728" i="2"/>
  <c r="D728" i="2"/>
  <c r="E728" i="2"/>
  <c r="G728" i="2"/>
  <c r="F728" i="2"/>
  <c r="H728" i="2"/>
  <c r="I728" i="2"/>
  <c r="B727" i="2"/>
  <c r="D727" i="2"/>
  <c r="E727" i="2"/>
  <c r="G727" i="2"/>
  <c r="F727" i="2"/>
  <c r="H727" i="2"/>
  <c r="I727" i="2"/>
  <c r="B726" i="2"/>
  <c r="D726" i="2"/>
  <c r="E726" i="2"/>
  <c r="G726" i="2"/>
  <c r="F726" i="2"/>
  <c r="H726" i="2"/>
  <c r="I726" i="2"/>
  <c r="B725" i="2"/>
  <c r="D725" i="2"/>
  <c r="E725" i="2"/>
  <c r="G725" i="2"/>
  <c r="F725" i="2"/>
  <c r="H725" i="2"/>
  <c r="I725" i="2"/>
  <c r="B724" i="2"/>
  <c r="D724" i="2"/>
  <c r="E724" i="2"/>
  <c r="G724" i="2"/>
  <c r="F724" i="2"/>
  <c r="H724" i="2"/>
  <c r="I724" i="2"/>
  <c r="B723" i="2"/>
  <c r="D723" i="2"/>
  <c r="E723" i="2"/>
  <c r="G723" i="2"/>
  <c r="F723" i="2"/>
  <c r="H723" i="2"/>
  <c r="I723" i="2"/>
  <c r="B722" i="2"/>
  <c r="D722" i="2"/>
  <c r="E722" i="2"/>
  <c r="G722" i="2"/>
  <c r="F722" i="2"/>
  <c r="H722" i="2"/>
  <c r="I722" i="2"/>
  <c r="B721" i="2"/>
  <c r="D721" i="2"/>
  <c r="E721" i="2"/>
  <c r="G721" i="2"/>
  <c r="F721" i="2"/>
  <c r="H721" i="2"/>
  <c r="I721" i="2"/>
  <c r="B720" i="2"/>
  <c r="D720" i="2"/>
  <c r="E720" i="2"/>
  <c r="G720" i="2"/>
  <c r="F720" i="2"/>
  <c r="H720" i="2"/>
  <c r="I720" i="2"/>
  <c r="B719" i="2"/>
  <c r="D719" i="2"/>
  <c r="E719" i="2"/>
  <c r="G719" i="2"/>
  <c r="F719" i="2"/>
  <c r="H719" i="2"/>
  <c r="I719" i="2"/>
  <c r="B718" i="2"/>
  <c r="D718" i="2"/>
  <c r="E718" i="2"/>
  <c r="G718" i="2"/>
  <c r="F718" i="2"/>
  <c r="H718" i="2"/>
  <c r="I718" i="2"/>
  <c r="B717" i="2"/>
  <c r="D717" i="2"/>
  <c r="E717" i="2"/>
  <c r="G717" i="2"/>
  <c r="F717" i="2"/>
  <c r="H717" i="2"/>
  <c r="I717" i="2"/>
  <c r="B716" i="2"/>
  <c r="D716" i="2"/>
  <c r="E716" i="2"/>
  <c r="G716" i="2"/>
  <c r="F716" i="2"/>
  <c r="H716" i="2"/>
  <c r="I716" i="2"/>
  <c r="B715" i="2"/>
  <c r="D715" i="2"/>
  <c r="E715" i="2"/>
  <c r="G715" i="2"/>
  <c r="F715" i="2"/>
  <c r="H715" i="2"/>
  <c r="I715" i="2"/>
  <c r="B714" i="2"/>
  <c r="D714" i="2"/>
  <c r="E714" i="2"/>
  <c r="G714" i="2"/>
  <c r="F714" i="2"/>
  <c r="H714" i="2"/>
  <c r="I714" i="2"/>
  <c r="B713" i="2"/>
  <c r="D713" i="2"/>
  <c r="E713" i="2"/>
  <c r="G713" i="2"/>
  <c r="F713" i="2"/>
  <c r="H713" i="2"/>
  <c r="I713" i="2"/>
  <c r="B712" i="2"/>
  <c r="D712" i="2"/>
  <c r="E712" i="2"/>
  <c r="G712" i="2"/>
  <c r="F712" i="2"/>
  <c r="H712" i="2"/>
  <c r="I712" i="2"/>
  <c r="B711" i="2"/>
  <c r="D711" i="2"/>
  <c r="E711" i="2"/>
  <c r="G711" i="2"/>
  <c r="F711" i="2"/>
  <c r="H711" i="2"/>
  <c r="I711" i="2"/>
  <c r="B710" i="2"/>
  <c r="D710" i="2"/>
  <c r="E710" i="2"/>
  <c r="G710" i="2"/>
  <c r="F710" i="2"/>
  <c r="H710" i="2"/>
  <c r="I710" i="2"/>
  <c r="B709" i="2"/>
  <c r="D709" i="2"/>
  <c r="E709" i="2"/>
  <c r="G709" i="2"/>
  <c r="F709" i="2"/>
  <c r="H709" i="2"/>
  <c r="I709" i="2"/>
  <c r="B708" i="2"/>
  <c r="D708" i="2"/>
  <c r="E708" i="2"/>
  <c r="G708" i="2"/>
  <c r="F708" i="2"/>
  <c r="H708" i="2"/>
  <c r="I708" i="2"/>
  <c r="B707" i="2"/>
  <c r="D707" i="2"/>
  <c r="E707" i="2"/>
  <c r="G707" i="2"/>
  <c r="F707" i="2"/>
  <c r="H707" i="2"/>
  <c r="I707" i="2"/>
  <c r="B706" i="2"/>
  <c r="D706" i="2"/>
  <c r="E706" i="2"/>
  <c r="G706" i="2"/>
  <c r="F706" i="2"/>
  <c r="H706" i="2"/>
  <c r="I706" i="2"/>
  <c r="B705" i="2"/>
  <c r="D705" i="2"/>
  <c r="E705" i="2"/>
  <c r="G705" i="2"/>
  <c r="F705" i="2"/>
  <c r="H705" i="2"/>
  <c r="I705" i="2"/>
  <c r="B704" i="2"/>
  <c r="D704" i="2"/>
  <c r="E704" i="2"/>
  <c r="G704" i="2"/>
  <c r="F704" i="2"/>
  <c r="H704" i="2"/>
  <c r="I704" i="2"/>
  <c r="B703" i="2"/>
  <c r="D703" i="2"/>
  <c r="E703" i="2"/>
  <c r="G703" i="2"/>
  <c r="F703" i="2"/>
  <c r="H703" i="2"/>
  <c r="I703" i="2"/>
  <c r="B702" i="2"/>
  <c r="D702" i="2"/>
  <c r="E702" i="2"/>
  <c r="G702" i="2"/>
  <c r="F702" i="2"/>
  <c r="H702" i="2"/>
  <c r="I702" i="2"/>
  <c r="B701" i="2"/>
  <c r="D701" i="2"/>
  <c r="E701" i="2"/>
  <c r="G701" i="2"/>
  <c r="F701" i="2"/>
  <c r="H701" i="2"/>
  <c r="I701" i="2"/>
  <c r="B700" i="2"/>
  <c r="D700" i="2"/>
  <c r="E700" i="2"/>
  <c r="G700" i="2"/>
  <c r="F700" i="2"/>
  <c r="H700" i="2"/>
  <c r="I700" i="2"/>
  <c r="B699" i="2"/>
  <c r="D699" i="2"/>
  <c r="E699" i="2"/>
  <c r="G699" i="2"/>
  <c r="F699" i="2"/>
  <c r="H699" i="2"/>
  <c r="I699" i="2"/>
  <c r="B698" i="2"/>
  <c r="D698" i="2"/>
  <c r="E698" i="2"/>
  <c r="G698" i="2"/>
  <c r="F698" i="2"/>
  <c r="H698" i="2"/>
  <c r="I698" i="2"/>
  <c r="B697" i="2"/>
  <c r="D697" i="2"/>
  <c r="E697" i="2"/>
  <c r="G697" i="2"/>
  <c r="F697" i="2"/>
  <c r="H697" i="2"/>
  <c r="I697" i="2"/>
  <c r="B696" i="2"/>
  <c r="D696" i="2"/>
  <c r="E696" i="2"/>
  <c r="G696" i="2"/>
  <c r="F696" i="2"/>
  <c r="H696" i="2"/>
  <c r="I696" i="2"/>
  <c r="B695" i="2"/>
  <c r="D695" i="2"/>
  <c r="E695" i="2"/>
  <c r="G695" i="2"/>
  <c r="F695" i="2"/>
  <c r="H695" i="2"/>
  <c r="I695" i="2"/>
  <c r="B694" i="2"/>
  <c r="D694" i="2"/>
  <c r="E694" i="2"/>
  <c r="G694" i="2"/>
  <c r="F694" i="2"/>
  <c r="H694" i="2"/>
  <c r="I694" i="2"/>
  <c r="B693" i="2"/>
  <c r="D693" i="2"/>
  <c r="E693" i="2"/>
  <c r="G693" i="2"/>
  <c r="F693" i="2"/>
  <c r="H693" i="2"/>
  <c r="I693" i="2"/>
  <c r="B692" i="2"/>
  <c r="D692" i="2"/>
  <c r="E692" i="2"/>
  <c r="G692" i="2"/>
  <c r="F692" i="2"/>
  <c r="H692" i="2"/>
  <c r="I692" i="2"/>
  <c r="B691" i="2"/>
  <c r="D691" i="2"/>
  <c r="E691" i="2"/>
  <c r="G691" i="2"/>
  <c r="F691" i="2"/>
  <c r="H691" i="2"/>
  <c r="I691" i="2"/>
  <c r="B690" i="2"/>
  <c r="D690" i="2"/>
  <c r="E690" i="2"/>
  <c r="G690" i="2"/>
  <c r="F690" i="2"/>
  <c r="H690" i="2"/>
  <c r="I690" i="2"/>
  <c r="B689" i="2"/>
  <c r="D689" i="2"/>
  <c r="E689" i="2"/>
  <c r="G689" i="2"/>
  <c r="F689" i="2"/>
  <c r="H689" i="2"/>
  <c r="I689" i="2"/>
  <c r="B688" i="2"/>
  <c r="D688" i="2"/>
  <c r="E688" i="2"/>
  <c r="G688" i="2"/>
  <c r="F688" i="2"/>
  <c r="H688" i="2"/>
  <c r="I688" i="2"/>
  <c r="B687" i="2"/>
  <c r="D687" i="2"/>
  <c r="E687" i="2"/>
  <c r="G687" i="2"/>
  <c r="F687" i="2"/>
  <c r="H687" i="2"/>
  <c r="I687" i="2"/>
  <c r="B686" i="2"/>
  <c r="D686" i="2"/>
  <c r="E686" i="2"/>
  <c r="G686" i="2"/>
  <c r="F686" i="2"/>
  <c r="H686" i="2"/>
  <c r="I686" i="2"/>
  <c r="B685" i="2"/>
  <c r="D685" i="2"/>
  <c r="E685" i="2"/>
  <c r="G685" i="2"/>
  <c r="F685" i="2"/>
  <c r="H685" i="2"/>
  <c r="I685" i="2"/>
  <c r="B684" i="2"/>
  <c r="D684" i="2"/>
  <c r="E684" i="2"/>
  <c r="G684" i="2"/>
  <c r="F684" i="2"/>
  <c r="H684" i="2"/>
  <c r="I684" i="2"/>
  <c r="B683" i="2"/>
  <c r="D683" i="2"/>
  <c r="E683" i="2"/>
  <c r="G683" i="2"/>
  <c r="F683" i="2"/>
  <c r="H683" i="2"/>
  <c r="I683" i="2"/>
  <c r="B682" i="2"/>
  <c r="D682" i="2"/>
  <c r="E682" i="2"/>
  <c r="G682" i="2"/>
  <c r="F682" i="2"/>
  <c r="H682" i="2"/>
  <c r="I682" i="2"/>
  <c r="B681" i="2"/>
  <c r="D681" i="2"/>
  <c r="E681" i="2"/>
  <c r="G681" i="2"/>
  <c r="F681" i="2"/>
  <c r="H681" i="2"/>
  <c r="I681" i="2"/>
  <c r="B680" i="2"/>
  <c r="D680" i="2"/>
  <c r="E680" i="2"/>
  <c r="G680" i="2"/>
  <c r="F680" i="2"/>
  <c r="H680" i="2"/>
  <c r="I680" i="2"/>
  <c r="B679" i="2"/>
  <c r="D679" i="2"/>
  <c r="E679" i="2"/>
  <c r="G679" i="2"/>
  <c r="F679" i="2"/>
  <c r="H679" i="2"/>
  <c r="I679" i="2"/>
  <c r="B678" i="2"/>
  <c r="D678" i="2"/>
  <c r="E678" i="2"/>
  <c r="G678" i="2"/>
  <c r="F678" i="2"/>
  <c r="H678" i="2"/>
  <c r="I678" i="2"/>
  <c r="B677" i="2"/>
  <c r="D677" i="2"/>
  <c r="E677" i="2"/>
  <c r="G677" i="2"/>
  <c r="F677" i="2"/>
  <c r="H677" i="2"/>
  <c r="I677" i="2"/>
  <c r="B676" i="2"/>
  <c r="D676" i="2"/>
  <c r="E676" i="2"/>
  <c r="G676" i="2"/>
  <c r="F676" i="2"/>
  <c r="H676" i="2"/>
  <c r="I676" i="2"/>
  <c r="B675" i="2"/>
  <c r="D675" i="2"/>
  <c r="E675" i="2"/>
  <c r="G675" i="2"/>
  <c r="F675" i="2"/>
  <c r="H675" i="2"/>
  <c r="I675" i="2"/>
  <c r="B674" i="2"/>
  <c r="D674" i="2"/>
  <c r="E674" i="2"/>
  <c r="G674" i="2"/>
  <c r="F674" i="2"/>
  <c r="H674" i="2"/>
  <c r="I674" i="2"/>
  <c r="B673" i="2"/>
  <c r="D673" i="2"/>
  <c r="E673" i="2"/>
  <c r="G673" i="2"/>
  <c r="F673" i="2"/>
  <c r="H673" i="2"/>
  <c r="I673" i="2"/>
  <c r="B672" i="2"/>
  <c r="D672" i="2"/>
  <c r="E672" i="2"/>
  <c r="G672" i="2"/>
  <c r="F672" i="2"/>
  <c r="H672" i="2"/>
  <c r="I672" i="2"/>
  <c r="B671" i="2"/>
  <c r="D671" i="2"/>
  <c r="E671" i="2"/>
  <c r="G671" i="2"/>
  <c r="F671" i="2"/>
  <c r="H671" i="2"/>
  <c r="I671" i="2"/>
  <c r="B670" i="2"/>
  <c r="D670" i="2"/>
  <c r="E670" i="2"/>
  <c r="G670" i="2"/>
  <c r="F670" i="2"/>
  <c r="H670" i="2"/>
  <c r="I670" i="2"/>
  <c r="B669" i="2"/>
  <c r="D669" i="2"/>
  <c r="E669" i="2"/>
  <c r="G669" i="2"/>
  <c r="F669" i="2"/>
  <c r="H669" i="2"/>
  <c r="I669" i="2"/>
  <c r="B668" i="2"/>
  <c r="D668" i="2"/>
  <c r="E668" i="2"/>
  <c r="G668" i="2"/>
  <c r="F668" i="2"/>
  <c r="H668" i="2"/>
  <c r="I668" i="2"/>
  <c r="B667" i="2"/>
  <c r="D667" i="2"/>
  <c r="E667" i="2"/>
  <c r="G667" i="2"/>
  <c r="F667" i="2"/>
  <c r="H667" i="2"/>
  <c r="I667" i="2"/>
  <c r="B666" i="2"/>
  <c r="D666" i="2"/>
  <c r="E666" i="2"/>
  <c r="G666" i="2"/>
  <c r="F666" i="2"/>
  <c r="H666" i="2"/>
  <c r="I666" i="2"/>
  <c r="B665" i="2"/>
  <c r="D665" i="2"/>
  <c r="E665" i="2"/>
  <c r="G665" i="2"/>
  <c r="F665" i="2"/>
  <c r="H665" i="2"/>
  <c r="I665" i="2"/>
  <c r="B664" i="2"/>
  <c r="D664" i="2"/>
  <c r="E664" i="2"/>
  <c r="G664" i="2"/>
  <c r="F664" i="2"/>
  <c r="H664" i="2"/>
  <c r="I664" i="2"/>
  <c r="B663" i="2"/>
  <c r="D663" i="2"/>
  <c r="E663" i="2"/>
  <c r="G663" i="2"/>
  <c r="F663" i="2"/>
  <c r="H663" i="2"/>
  <c r="I663" i="2"/>
  <c r="B662" i="2"/>
  <c r="D662" i="2"/>
  <c r="E662" i="2"/>
  <c r="G662" i="2"/>
  <c r="F662" i="2"/>
  <c r="H662" i="2"/>
  <c r="I662" i="2"/>
  <c r="B661" i="2"/>
  <c r="D661" i="2"/>
  <c r="E661" i="2"/>
  <c r="G661" i="2"/>
  <c r="F661" i="2"/>
  <c r="H661" i="2"/>
  <c r="I661" i="2"/>
  <c r="B660" i="2"/>
  <c r="D660" i="2"/>
  <c r="E660" i="2"/>
  <c r="G660" i="2"/>
  <c r="F660" i="2"/>
  <c r="H660" i="2"/>
  <c r="I660" i="2"/>
  <c r="B659" i="2"/>
  <c r="D659" i="2"/>
  <c r="E659" i="2"/>
  <c r="G659" i="2"/>
  <c r="F659" i="2"/>
  <c r="H659" i="2"/>
  <c r="I659" i="2"/>
  <c r="B658" i="2"/>
  <c r="D658" i="2"/>
  <c r="E658" i="2"/>
  <c r="G658" i="2"/>
  <c r="F658" i="2"/>
  <c r="H658" i="2"/>
  <c r="I658" i="2"/>
  <c r="B657" i="2"/>
  <c r="D657" i="2"/>
  <c r="E657" i="2"/>
  <c r="G657" i="2"/>
  <c r="F657" i="2"/>
  <c r="H657" i="2"/>
  <c r="I657" i="2"/>
  <c r="B656" i="2"/>
  <c r="D656" i="2"/>
  <c r="E656" i="2"/>
  <c r="G656" i="2"/>
  <c r="F656" i="2"/>
  <c r="H656" i="2"/>
  <c r="I656" i="2"/>
  <c r="B655" i="2"/>
  <c r="D655" i="2"/>
  <c r="E655" i="2"/>
  <c r="G655" i="2"/>
  <c r="F655" i="2"/>
  <c r="H655" i="2"/>
  <c r="I655" i="2"/>
  <c r="B654" i="2"/>
  <c r="D654" i="2"/>
  <c r="E654" i="2"/>
  <c r="G654" i="2"/>
  <c r="F654" i="2"/>
  <c r="H654" i="2"/>
  <c r="I654" i="2"/>
  <c r="B653" i="2"/>
  <c r="D653" i="2"/>
  <c r="E653" i="2"/>
  <c r="G653" i="2"/>
  <c r="F653" i="2"/>
  <c r="H653" i="2"/>
  <c r="I653" i="2"/>
  <c r="B652" i="2"/>
  <c r="D652" i="2"/>
  <c r="E652" i="2"/>
  <c r="G652" i="2"/>
  <c r="F652" i="2"/>
  <c r="H652" i="2"/>
  <c r="I652" i="2"/>
  <c r="B651" i="2"/>
  <c r="D651" i="2"/>
  <c r="E651" i="2"/>
  <c r="G651" i="2"/>
  <c r="F651" i="2"/>
  <c r="H651" i="2"/>
  <c r="I651" i="2"/>
  <c r="B650" i="2"/>
  <c r="D650" i="2"/>
  <c r="E650" i="2"/>
  <c r="G650" i="2"/>
  <c r="F650" i="2"/>
  <c r="H650" i="2"/>
  <c r="I650" i="2"/>
  <c r="B649" i="2"/>
  <c r="D649" i="2"/>
  <c r="E649" i="2"/>
  <c r="G649" i="2"/>
  <c r="F649" i="2"/>
  <c r="H649" i="2"/>
  <c r="I649" i="2"/>
  <c r="B648" i="2"/>
  <c r="D648" i="2"/>
  <c r="E648" i="2"/>
  <c r="G648" i="2"/>
  <c r="F648" i="2"/>
  <c r="H648" i="2"/>
  <c r="I648" i="2"/>
  <c r="B647" i="2"/>
  <c r="D647" i="2"/>
  <c r="E647" i="2"/>
  <c r="G647" i="2"/>
  <c r="F647" i="2"/>
  <c r="H647" i="2"/>
  <c r="I647" i="2"/>
  <c r="B646" i="2"/>
  <c r="D646" i="2"/>
  <c r="E646" i="2"/>
  <c r="G646" i="2"/>
  <c r="F646" i="2"/>
  <c r="H646" i="2"/>
  <c r="I646" i="2"/>
  <c r="B645" i="2"/>
  <c r="D645" i="2"/>
  <c r="E645" i="2"/>
  <c r="G645" i="2"/>
  <c r="F645" i="2"/>
  <c r="H645" i="2"/>
  <c r="I645" i="2"/>
  <c r="B644" i="2"/>
  <c r="D644" i="2"/>
  <c r="E644" i="2"/>
  <c r="G644" i="2"/>
  <c r="F644" i="2"/>
  <c r="H644" i="2"/>
  <c r="I644" i="2"/>
  <c r="B643" i="2"/>
  <c r="D643" i="2"/>
  <c r="E643" i="2"/>
  <c r="G643" i="2"/>
  <c r="F643" i="2"/>
  <c r="H643" i="2"/>
  <c r="I643" i="2"/>
  <c r="B642" i="2"/>
  <c r="D642" i="2"/>
  <c r="E642" i="2"/>
  <c r="G642" i="2"/>
  <c r="F642" i="2"/>
  <c r="H642" i="2"/>
  <c r="I642" i="2"/>
  <c r="B641" i="2"/>
  <c r="D641" i="2"/>
  <c r="E641" i="2"/>
  <c r="G641" i="2"/>
  <c r="F641" i="2"/>
  <c r="H641" i="2"/>
  <c r="I641" i="2"/>
  <c r="B640" i="2"/>
  <c r="D640" i="2"/>
  <c r="E640" i="2"/>
  <c r="G640" i="2"/>
  <c r="F640" i="2"/>
  <c r="H640" i="2"/>
  <c r="I640" i="2"/>
  <c r="B639" i="2"/>
  <c r="D639" i="2"/>
  <c r="E639" i="2"/>
  <c r="G639" i="2"/>
  <c r="F639" i="2"/>
  <c r="H639" i="2"/>
  <c r="I639" i="2"/>
  <c r="B638" i="2"/>
  <c r="D638" i="2"/>
  <c r="E638" i="2"/>
  <c r="G638" i="2"/>
  <c r="F638" i="2"/>
  <c r="H638" i="2"/>
  <c r="I638" i="2"/>
  <c r="B637" i="2"/>
  <c r="D637" i="2"/>
  <c r="E637" i="2"/>
  <c r="G637" i="2"/>
  <c r="F637" i="2"/>
  <c r="H637" i="2"/>
  <c r="I637" i="2"/>
  <c r="B636" i="2"/>
  <c r="D636" i="2"/>
  <c r="E636" i="2"/>
  <c r="G636" i="2"/>
  <c r="F636" i="2"/>
  <c r="H636" i="2"/>
  <c r="I636" i="2"/>
  <c r="B635" i="2"/>
  <c r="D635" i="2"/>
  <c r="E635" i="2"/>
  <c r="G635" i="2"/>
  <c r="F635" i="2"/>
  <c r="H635" i="2"/>
  <c r="I635" i="2"/>
  <c r="B634" i="2"/>
  <c r="D634" i="2"/>
  <c r="E634" i="2"/>
  <c r="G634" i="2"/>
  <c r="F634" i="2"/>
  <c r="H634" i="2"/>
  <c r="I634" i="2"/>
  <c r="B633" i="2"/>
  <c r="D633" i="2"/>
  <c r="E633" i="2"/>
  <c r="G633" i="2"/>
  <c r="F633" i="2"/>
  <c r="H633" i="2"/>
  <c r="I633" i="2"/>
  <c r="B632" i="2"/>
  <c r="D632" i="2"/>
  <c r="E632" i="2"/>
  <c r="G632" i="2"/>
  <c r="F632" i="2"/>
  <c r="H632" i="2"/>
  <c r="I632" i="2"/>
  <c r="B631" i="2"/>
  <c r="D631" i="2"/>
  <c r="E631" i="2"/>
  <c r="G631" i="2"/>
  <c r="F631" i="2"/>
  <c r="H631" i="2"/>
  <c r="I631" i="2"/>
  <c r="B630" i="2"/>
  <c r="D630" i="2"/>
  <c r="E630" i="2"/>
  <c r="G630" i="2"/>
  <c r="F630" i="2"/>
  <c r="H630" i="2"/>
  <c r="I630" i="2"/>
  <c r="B629" i="2"/>
  <c r="D629" i="2"/>
  <c r="E629" i="2"/>
  <c r="G629" i="2"/>
  <c r="F629" i="2"/>
  <c r="H629" i="2"/>
  <c r="I629" i="2"/>
  <c r="B628" i="2"/>
  <c r="D628" i="2"/>
  <c r="E628" i="2"/>
  <c r="G628" i="2"/>
  <c r="F628" i="2"/>
  <c r="H628" i="2"/>
  <c r="I628" i="2"/>
  <c r="B627" i="2"/>
  <c r="D627" i="2"/>
  <c r="E627" i="2"/>
  <c r="G627" i="2"/>
  <c r="F627" i="2"/>
  <c r="H627" i="2"/>
  <c r="I627" i="2"/>
  <c r="B626" i="2"/>
  <c r="D626" i="2"/>
  <c r="E626" i="2"/>
  <c r="G626" i="2"/>
  <c r="F626" i="2"/>
  <c r="H626" i="2"/>
  <c r="I626" i="2"/>
  <c r="B625" i="2"/>
  <c r="D625" i="2"/>
  <c r="E625" i="2"/>
  <c r="G625" i="2"/>
  <c r="F625" i="2"/>
  <c r="H625" i="2"/>
  <c r="I625" i="2"/>
  <c r="B624" i="2"/>
  <c r="D624" i="2"/>
  <c r="E624" i="2"/>
  <c r="G624" i="2"/>
  <c r="F624" i="2"/>
  <c r="H624" i="2"/>
  <c r="I624" i="2"/>
  <c r="B623" i="2"/>
  <c r="D623" i="2"/>
  <c r="E623" i="2"/>
  <c r="G623" i="2"/>
  <c r="F623" i="2"/>
  <c r="H623" i="2"/>
  <c r="I623" i="2"/>
  <c r="B622" i="2"/>
  <c r="D622" i="2"/>
  <c r="E622" i="2"/>
  <c r="G622" i="2"/>
  <c r="F622" i="2"/>
  <c r="H622" i="2"/>
  <c r="I622" i="2"/>
  <c r="B621" i="2"/>
  <c r="D621" i="2"/>
  <c r="E621" i="2"/>
  <c r="G621" i="2"/>
  <c r="F621" i="2"/>
  <c r="H621" i="2"/>
  <c r="I621" i="2"/>
  <c r="B620" i="2"/>
  <c r="D620" i="2"/>
  <c r="E620" i="2"/>
  <c r="G620" i="2"/>
  <c r="F620" i="2"/>
  <c r="H620" i="2"/>
  <c r="I620" i="2"/>
  <c r="B619" i="2"/>
  <c r="D619" i="2"/>
  <c r="E619" i="2"/>
  <c r="G619" i="2"/>
  <c r="F619" i="2"/>
  <c r="H619" i="2"/>
  <c r="I619" i="2"/>
  <c r="B618" i="2"/>
  <c r="D618" i="2"/>
  <c r="E618" i="2"/>
  <c r="G618" i="2"/>
  <c r="F618" i="2"/>
  <c r="H618" i="2"/>
  <c r="I618" i="2"/>
  <c r="B617" i="2"/>
  <c r="D617" i="2"/>
  <c r="E617" i="2"/>
  <c r="G617" i="2"/>
  <c r="F617" i="2"/>
  <c r="H617" i="2"/>
  <c r="I617" i="2"/>
  <c r="B616" i="2"/>
  <c r="D616" i="2"/>
  <c r="E616" i="2"/>
  <c r="G616" i="2"/>
  <c r="F616" i="2"/>
  <c r="H616" i="2"/>
  <c r="I616" i="2"/>
  <c r="B615" i="2"/>
  <c r="D615" i="2"/>
  <c r="E615" i="2"/>
  <c r="G615" i="2"/>
  <c r="F615" i="2"/>
  <c r="H615" i="2"/>
  <c r="I615" i="2"/>
  <c r="B614" i="2"/>
  <c r="D614" i="2"/>
  <c r="E614" i="2"/>
  <c r="G614" i="2"/>
  <c r="F614" i="2"/>
  <c r="H614" i="2"/>
  <c r="I614" i="2"/>
  <c r="B613" i="2"/>
  <c r="D613" i="2"/>
  <c r="E613" i="2"/>
  <c r="G613" i="2"/>
  <c r="F613" i="2"/>
  <c r="H613" i="2"/>
  <c r="I613" i="2"/>
  <c r="B612" i="2"/>
  <c r="D612" i="2"/>
  <c r="E612" i="2"/>
  <c r="G612" i="2"/>
  <c r="F612" i="2"/>
  <c r="H612" i="2"/>
  <c r="I612" i="2"/>
  <c r="B611" i="2"/>
  <c r="D611" i="2"/>
  <c r="E611" i="2"/>
  <c r="G611" i="2"/>
  <c r="F611" i="2"/>
  <c r="H611" i="2"/>
  <c r="I611" i="2"/>
  <c r="B610" i="2"/>
  <c r="D610" i="2"/>
  <c r="E610" i="2"/>
  <c r="G610" i="2"/>
  <c r="F610" i="2"/>
  <c r="H610" i="2"/>
  <c r="I610" i="2"/>
  <c r="B609" i="2"/>
  <c r="D609" i="2"/>
  <c r="E609" i="2"/>
  <c r="G609" i="2"/>
  <c r="F609" i="2"/>
  <c r="H609" i="2"/>
  <c r="I609" i="2"/>
  <c r="B608" i="2"/>
  <c r="D608" i="2"/>
  <c r="E608" i="2"/>
  <c r="G608" i="2"/>
  <c r="F608" i="2"/>
  <c r="H608" i="2"/>
  <c r="I608" i="2"/>
  <c r="B607" i="2"/>
  <c r="D607" i="2"/>
  <c r="E607" i="2"/>
  <c r="G607" i="2"/>
  <c r="F607" i="2"/>
  <c r="H607" i="2"/>
  <c r="I607" i="2"/>
  <c r="B606" i="2"/>
  <c r="D606" i="2"/>
  <c r="E606" i="2"/>
  <c r="G606" i="2"/>
  <c r="F606" i="2"/>
  <c r="H606" i="2"/>
  <c r="I606" i="2"/>
  <c r="B605" i="2"/>
  <c r="D605" i="2"/>
  <c r="E605" i="2"/>
  <c r="G605" i="2"/>
  <c r="F605" i="2"/>
  <c r="H605" i="2"/>
  <c r="I605" i="2"/>
  <c r="B604" i="2"/>
  <c r="D604" i="2"/>
  <c r="E604" i="2"/>
  <c r="G604" i="2"/>
  <c r="F604" i="2"/>
  <c r="H604" i="2"/>
  <c r="I604" i="2"/>
  <c r="B603" i="2"/>
  <c r="D603" i="2"/>
  <c r="E603" i="2"/>
  <c r="G603" i="2"/>
  <c r="F603" i="2"/>
  <c r="H603" i="2"/>
  <c r="I603" i="2"/>
  <c r="B602" i="2"/>
  <c r="D602" i="2"/>
  <c r="E602" i="2"/>
  <c r="G602" i="2"/>
  <c r="F602" i="2"/>
  <c r="H602" i="2"/>
  <c r="I602" i="2"/>
  <c r="B601" i="2"/>
  <c r="D601" i="2"/>
  <c r="E601" i="2"/>
  <c r="G601" i="2"/>
  <c r="F601" i="2"/>
  <c r="H601" i="2"/>
  <c r="I601" i="2"/>
  <c r="B600" i="2"/>
  <c r="D600" i="2"/>
  <c r="E600" i="2"/>
  <c r="G600" i="2"/>
  <c r="F600" i="2"/>
  <c r="H600" i="2"/>
  <c r="I600" i="2"/>
  <c r="B599" i="2"/>
  <c r="D599" i="2"/>
  <c r="E599" i="2"/>
  <c r="G599" i="2"/>
  <c r="F599" i="2"/>
  <c r="H599" i="2"/>
  <c r="I599" i="2"/>
  <c r="B598" i="2"/>
  <c r="D598" i="2"/>
  <c r="E598" i="2"/>
  <c r="G598" i="2"/>
  <c r="F598" i="2"/>
  <c r="H598" i="2"/>
  <c r="I598" i="2"/>
  <c r="B597" i="2"/>
  <c r="D597" i="2"/>
  <c r="E597" i="2"/>
  <c r="G597" i="2"/>
  <c r="F597" i="2"/>
  <c r="H597" i="2"/>
  <c r="I597" i="2"/>
  <c r="B596" i="2"/>
  <c r="D596" i="2"/>
  <c r="E596" i="2"/>
  <c r="G596" i="2"/>
  <c r="F596" i="2"/>
  <c r="H596" i="2"/>
  <c r="I596" i="2"/>
  <c r="B595" i="2"/>
  <c r="D595" i="2"/>
  <c r="E595" i="2"/>
  <c r="G595" i="2"/>
  <c r="F595" i="2"/>
  <c r="H595" i="2"/>
  <c r="I595" i="2"/>
  <c r="B594" i="2"/>
  <c r="D594" i="2"/>
  <c r="E594" i="2"/>
  <c r="G594" i="2"/>
  <c r="F594" i="2"/>
  <c r="H594" i="2"/>
  <c r="I594" i="2"/>
  <c r="B593" i="2"/>
  <c r="D593" i="2"/>
  <c r="E593" i="2"/>
  <c r="G593" i="2"/>
  <c r="F593" i="2"/>
  <c r="H593" i="2"/>
  <c r="I593" i="2"/>
  <c r="B592" i="2"/>
  <c r="D592" i="2"/>
  <c r="E592" i="2"/>
  <c r="G592" i="2"/>
  <c r="F592" i="2"/>
  <c r="H592" i="2"/>
  <c r="I592" i="2"/>
  <c r="B591" i="2"/>
  <c r="D591" i="2"/>
  <c r="E591" i="2"/>
  <c r="G591" i="2"/>
  <c r="F591" i="2"/>
  <c r="H591" i="2"/>
  <c r="I591" i="2"/>
  <c r="B590" i="2"/>
  <c r="D590" i="2"/>
  <c r="E590" i="2"/>
  <c r="G590" i="2"/>
  <c r="F590" i="2"/>
  <c r="H590" i="2"/>
  <c r="I590" i="2"/>
  <c r="B589" i="2"/>
  <c r="D589" i="2"/>
  <c r="E589" i="2"/>
  <c r="G589" i="2"/>
  <c r="F589" i="2"/>
  <c r="H589" i="2"/>
  <c r="I589" i="2"/>
  <c r="B588" i="2"/>
  <c r="D588" i="2"/>
  <c r="E588" i="2"/>
  <c r="G588" i="2"/>
  <c r="F588" i="2"/>
  <c r="H588" i="2"/>
  <c r="I588" i="2"/>
  <c r="B587" i="2"/>
  <c r="D587" i="2"/>
  <c r="E587" i="2"/>
  <c r="G587" i="2"/>
  <c r="F587" i="2"/>
  <c r="H587" i="2"/>
  <c r="I587" i="2"/>
  <c r="B586" i="2"/>
  <c r="D586" i="2"/>
  <c r="E586" i="2"/>
  <c r="G586" i="2"/>
  <c r="F586" i="2"/>
  <c r="H586" i="2"/>
  <c r="I586" i="2"/>
  <c r="B585" i="2"/>
  <c r="D585" i="2"/>
  <c r="E585" i="2"/>
  <c r="G585" i="2"/>
  <c r="F585" i="2"/>
  <c r="H585" i="2"/>
  <c r="I585" i="2"/>
  <c r="B584" i="2"/>
  <c r="D584" i="2"/>
  <c r="E584" i="2"/>
  <c r="G584" i="2"/>
  <c r="F584" i="2"/>
  <c r="H584" i="2"/>
  <c r="I584" i="2"/>
  <c r="B583" i="2"/>
  <c r="D583" i="2"/>
  <c r="E583" i="2"/>
  <c r="G583" i="2"/>
  <c r="F583" i="2"/>
  <c r="H583" i="2"/>
  <c r="I583" i="2"/>
  <c r="B582" i="2"/>
  <c r="D582" i="2"/>
  <c r="E582" i="2"/>
  <c r="G582" i="2"/>
  <c r="F582" i="2"/>
  <c r="H582" i="2"/>
  <c r="I582" i="2"/>
  <c r="B581" i="2"/>
  <c r="D581" i="2"/>
  <c r="E581" i="2"/>
  <c r="G581" i="2"/>
  <c r="F581" i="2"/>
  <c r="H581" i="2"/>
  <c r="I581" i="2"/>
  <c r="B580" i="2"/>
  <c r="D580" i="2"/>
  <c r="E580" i="2"/>
  <c r="G580" i="2"/>
  <c r="F580" i="2"/>
  <c r="H580" i="2"/>
  <c r="I580" i="2"/>
  <c r="B579" i="2"/>
  <c r="D579" i="2"/>
  <c r="E579" i="2"/>
  <c r="G579" i="2"/>
  <c r="F579" i="2"/>
  <c r="H579" i="2"/>
  <c r="I579" i="2"/>
  <c r="B578" i="2"/>
  <c r="D578" i="2"/>
  <c r="E578" i="2"/>
  <c r="G578" i="2"/>
  <c r="F578" i="2"/>
  <c r="H578" i="2"/>
  <c r="I578" i="2"/>
  <c r="B577" i="2"/>
  <c r="D577" i="2"/>
  <c r="E577" i="2"/>
  <c r="G577" i="2"/>
  <c r="F577" i="2"/>
  <c r="H577" i="2"/>
  <c r="I577" i="2"/>
  <c r="B576" i="2"/>
  <c r="D576" i="2"/>
  <c r="E576" i="2"/>
  <c r="G576" i="2"/>
  <c r="F576" i="2"/>
  <c r="H576" i="2"/>
  <c r="I576" i="2"/>
  <c r="B575" i="2"/>
  <c r="D575" i="2"/>
  <c r="E575" i="2"/>
  <c r="G575" i="2"/>
  <c r="F575" i="2"/>
  <c r="H575" i="2"/>
  <c r="I575" i="2"/>
  <c r="B574" i="2"/>
  <c r="D574" i="2"/>
  <c r="E574" i="2"/>
  <c r="G574" i="2"/>
  <c r="F574" i="2"/>
  <c r="H574" i="2"/>
  <c r="I574" i="2"/>
  <c r="B573" i="2"/>
  <c r="D573" i="2"/>
  <c r="E573" i="2"/>
  <c r="G573" i="2"/>
  <c r="F573" i="2"/>
  <c r="H573" i="2"/>
  <c r="I573" i="2"/>
  <c r="B572" i="2"/>
  <c r="D572" i="2"/>
  <c r="E572" i="2"/>
  <c r="G572" i="2"/>
  <c r="F572" i="2"/>
  <c r="H572" i="2"/>
  <c r="I572" i="2"/>
  <c r="B571" i="2"/>
  <c r="D571" i="2"/>
  <c r="E571" i="2"/>
  <c r="G571" i="2"/>
  <c r="F571" i="2"/>
  <c r="H571" i="2"/>
  <c r="I571" i="2"/>
  <c r="B570" i="2"/>
  <c r="D570" i="2"/>
  <c r="E570" i="2"/>
  <c r="G570" i="2"/>
  <c r="F570" i="2"/>
  <c r="H570" i="2"/>
  <c r="I570" i="2"/>
  <c r="B569" i="2"/>
  <c r="D569" i="2"/>
  <c r="E569" i="2"/>
  <c r="G569" i="2"/>
  <c r="F569" i="2"/>
  <c r="H569" i="2"/>
  <c r="I569" i="2"/>
  <c r="B568" i="2"/>
  <c r="D568" i="2"/>
  <c r="E568" i="2"/>
  <c r="G568" i="2"/>
  <c r="F568" i="2"/>
  <c r="H568" i="2"/>
  <c r="I568" i="2"/>
  <c r="B567" i="2"/>
  <c r="D567" i="2"/>
  <c r="E567" i="2"/>
  <c r="G567" i="2"/>
  <c r="F567" i="2"/>
  <c r="H567" i="2"/>
  <c r="I567" i="2"/>
  <c r="B566" i="2"/>
  <c r="D566" i="2"/>
  <c r="E566" i="2"/>
  <c r="G566" i="2"/>
  <c r="F566" i="2"/>
  <c r="H566" i="2"/>
  <c r="I566" i="2"/>
  <c r="B565" i="2"/>
  <c r="D565" i="2"/>
  <c r="E565" i="2"/>
  <c r="G565" i="2"/>
  <c r="F565" i="2"/>
  <c r="H565" i="2"/>
  <c r="I565" i="2"/>
  <c r="B564" i="2"/>
  <c r="D564" i="2"/>
  <c r="E564" i="2"/>
  <c r="G564" i="2"/>
  <c r="F564" i="2"/>
  <c r="H564" i="2"/>
  <c r="I564" i="2"/>
  <c r="B563" i="2"/>
  <c r="D563" i="2"/>
  <c r="E563" i="2"/>
  <c r="G563" i="2"/>
  <c r="F563" i="2"/>
  <c r="H563" i="2"/>
  <c r="I563" i="2"/>
  <c r="B562" i="2"/>
  <c r="D562" i="2"/>
  <c r="E562" i="2"/>
  <c r="G562" i="2"/>
  <c r="F562" i="2"/>
  <c r="H562" i="2"/>
  <c r="I562" i="2"/>
  <c r="B561" i="2"/>
  <c r="D561" i="2"/>
  <c r="E561" i="2"/>
  <c r="G561" i="2"/>
  <c r="F561" i="2"/>
  <c r="H561" i="2"/>
  <c r="I561" i="2"/>
  <c r="B560" i="2"/>
  <c r="D560" i="2"/>
  <c r="E560" i="2"/>
  <c r="G560" i="2"/>
  <c r="F560" i="2"/>
  <c r="H560" i="2"/>
  <c r="I560" i="2"/>
  <c r="B559" i="2"/>
  <c r="D559" i="2"/>
  <c r="E559" i="2"/>
  <c r="G559" i="2"/>
  <c r="F559" i="2"/>
  <c r="H559" i="2"/>
  <c r="I559" i="2"/>
  <c r="B558" i="2"/>
  <c r="D558" i="2"/>
  <c r="E558" i="2"/>
  <c r="G558" i="2"/>
  <c r="F558" i="2"/>
  <c r="H558" i="2"/>
  <c r="I558" i="2"/>
  <c r="B557" i="2"/>
  <c r="D557" i="2"/>
  <c r="E557" i="2"/>
  <c r="G557" i="2"/>
  <c r="F557" i="2"/>
  <c r="H557" i="2"/>
  <c r="I557" i="2"/>
  <c r="B556" i="2"/>
  <c r="D556" i="2"/>
  <c r="E556" i="2"/>
  <c r="G556" i="2"/>
  <c r="F556" i="2"/>
  <c r="H556" i="2"/>
  <c r="I556" i="2"/>
  <c r="B555" i="2"/>
  <c r="D555" i="2"/>
  <c r="E555" i="2"/>
  <c r="G555" i="2"/>
  <c r="F555" i="2"/>
  <c r="H555" i="2"/>
  <c r="I555" i="2"/>
  <c r="B554" i="2"/>
  <c r="D554" i="2"/>
  <c r="E554" i="2"/>
  <c r="G554" i="2"/>
  <c r="F554" i="2"/>
  <c r="H554" i="2"/>
  <c r="I554" i="2"/>
  <c r="B553" i="2"/>
  <c r="D553" i="2"/>
  <c r="E553" i="2"/>
  <c r="G553" i="2"/>
  <c r="F553" i="2"/>
  <c r="H553" i="2"/>
  <c r="I553" i="2"/>
  <c r="B552" i="2"/>
  <c r="D552" i="2"/>
  <c r="E552" i="2"/>
  <c r="G552" i="2"/>
  <c r="F552" i="2"/>
  <c r="H552" i="2"/>
  <c r="I552" i="2"/>
  <c r="B551" i="2"/>
  <c r="D551" i="2"/>
  <c r="E551" i="2"/>
  <c r="G551" i="2"/>
  <c r="F551" i="2"/>
  <c r="H551" i="2"/>
  <c r="I551" i="2"/>
  <c r="B550" i="2"/>
  <c r="D550" i="2"/>
  <c r="E550" i="2"/>
  <c r="G550" i="2"/>
  <c r="F550" i="2"/>
  <c r="H550" i="2"/>
  <c r="I550" i="2"/>
  <c r="B549" i="2"/>
  <c r="D549" i="2"/>
  <c r="E549" i="2"/>
  <c r="G549" i="2"/>
  <c r="F549" i="2"/>
  <c r="H549" i="2"/>
  <c r="I549" i="2"/>
  <c r="B548" i="2"/>
  <c r="D548" i="2"/>
  <c r="E548" i="2"/>
  <c r="G548" i="2"/>
  <c r="F548" i="2"/>
  <c r="H548" i="2"/>
  <c r="I548" i="2"/>
  <c r="B547" i="2"/>
  <c r="D547" i="2"/>
  <c r="E547" i="2"/>
  <c r="G547" i="2"/>
  <c r="F547" i="2"/>
  <c r="H547" i="2"/>
  <c r="I547" i="2"/>
  <c r="B546" i="2"/>
  <c r="D546" i="2"/>
  <c r="E546" i="2"/>
  <c r="G546" i="2"/>
  <c r="F546" i="2"/>
  <c r="H546" i="2"/>
  <c r="I546" i="2"/>
  <c r="B545" i="2"/>
  <c r="D545" i="2"/>
  <c r="E545" i="2"/>
  <c r="G545" i="2"/>
  <c r="F545" i="2"/>
  <c r="H545" i="2"/>
  <c r="I545" i="2"/>
  <c r="B544" i="2"/>
  <c r="D544" i="2"/>
  <c r="E544" i="2"/>
  <c r="G544" i="2"/>
  <c r="F544" i="2"/>
  <c r="H544" i="2"/>
  <c r="I544" i="2"/>
  <c r="B543" i="2"/>
  <c r="D543" i="2"/>
  <c r="E543" i="2"/>
  <c r="G543" i="2"/>
  <c r="F543" i="2"/>
  <c r="H543" i="2"/>
  <c r="I543" i="2"/>
  <c r="B542" i="2"/>
  <c r="D542" i="2"/>
  <c r="E542" i="2"/>
  <c r="G542" i="2"/>
  <c r="F542" i="2"/>
  <c r="H542" i="2"/>
  <c r="I542" i="2"/>
  <c r="B541" i="2"/>
  <c r="D541" i="2"/>
  <c r="E541" i="2"/>
  <c r="G541" i="2"/>
  <c r="F541" i="2"/>
  <c r="H541" i="2"/>
  <c r="I541" i="2"/>
  <c r="B540" i="2"/>
  <c r="D540" i="2"/>
  <c r="E540" i="2"/>
  <c r="G540" i="2"/>
  <c r="F540" i="2"/>
  <c r="H540" i="2"/>
  <c r="I540" i="2"/>
  <c r="B539" i="2"/>
  <c r="D539" i="2"/>
  <c r="E539" i="2"/>
  <c r="G539" i="2"/>
  <c r="F539" i="2"/>
  <c r="H539" i="2"/>
  <c r="I539" i="2"/>
  <c r="B538" i="2"/>
  <c r="D538" i="2"/>
  <c r="E538" i="2"/>
  <c r="G538" i="2"/>
  <c r="F538" i="2"/>
  <c r="H538" i="2"/>
  <c r="I538" i="2"/>
  <c r="B537" i="2"/>
  <c r="D537" i="2"/>
  <c r="E537" i="2"/>
  <c r="G537" i="2"/>
  <c r="F537" i="2"/>
  <c r="H537" i="2"/>
  <c r="I537" i="2"/>
  <c r="B536" i="2"/>
  <c r="D536" i="2"/>
  <c r="E536" i="2"/>
  <c r="G536" i="2"/>
  <c r="F536" i="2"/>
  <c r="H536" i="2"/>
  <c r="I536" i="2"/>
  <c r="B535" i="2"/>
  <c r="D535" i="2"/>
  <c r="E535" i="2"/>
  <c r="G535" i="2"/>
  <c r="F535" i="2"/>
  <c r="H535" i="2"/>
  <c r="I535" i="2"/>
  <c r="B534" i="2"/>
  <c r="D534" i="2"/>
  <c r="E534" i="2"/>
  <c r="G534" i="2"/>
  <c r="F534" i="2"/>
  <c r="H534" i="2"/>
  <c r="I534" i="2"/>
  <c r="B533" i="2"/>
  <c r="D533" i="2"/>
  <c r="E533" i="2"/>
  <c r="G533" i="2"/>
  <c r="F533" i="2"/>
  <c r="H533" i="2"/>
  <c r="I533" i="2"/>
  <c r="B532" i="2"/>
  <c r="D532" i="2"/>
  <c r="E532" i="2"/>
  <c r="G532" i="2"/>
  <c r="F532" i="2"/>
  <c r="H532" i="2"/>
  <c r="I532" i="2"/>
  <c r="B531" i="2"/>
  <c r="D531" i="2"/>
  <c r="E531" i="2"/>
  <c r="G531" i="2"/>
  <c r="F531" i="2"/>
  <c r="H531" i="2"/>
  <c r="I531" i="2"/>
  <c r="B530" i="2"/>
  <c r="D530" i="2"/>
  <c r="E530" i="2"/>
  <c r="G530" i="2"/>
  <c r="F530" i="2"/>
  <c r="H530" i="2"/>
  <c r="I530" i="2"/>
  <c r="B529" i="2"/>
  <c r="D529" i="2"/>
  <c r="E529" i="2"/>
  <c r="G529" i="2"/>
  <c r="F529" i="2"/>
  <c r="H529" i="2"/>
  <c r="I529" i="2"/>
  <c r="B528" i="2"/>
  <c r="D528" i="2"/>
  <c r="E528" i="2"/>
  <c r="G528" i="2"/>
  <c r="F528" i="2"/>
  <c r="H528" i="2"/>
  <c r="I528" i="2"/>
  <c r="B527" i="2"/>
  <c r="D527" i="2"/>
  <c r="E527" i="2"/>
  <c r="G527" i="2"/>
  <c r="F527" i="2"/>
  <c r="H527" i="2"/>
  <c r="I527" i="2"/>
  <c r="B526" i="2"/>
  <c r="D526" i="2"/>
  <c r="E526" i="2"/>
  <c r="G526" i="2"/>
  <c r="F526" i="2"/>
  <c r="H526" i="2"/>
  <c r="I526" i="2"/>
  <c r="B525" i="2"/>
  <c r="D525" i="2"/>
  <c r="E525" i="2"/>
  <c r="G525" i="2"/>
  <c r="F525" i="2"/>
  <c r="H525" i="2"/>
  <c r="I525" i="2"/>
  <c r="B524" i="2"/>
  <c r="D524" i="2"/>
  <c r="E524" i="2"/>
  <c r="G524" i="2"/>
  <c r="F524" i="2"/>
  <c r="H524" i="2"/>
  <c r="I524" i="2"/>
  <c r="B523" i="2"/>
  <c r="D523" i="2"/>
  <c r="E523" i="2"/>
  <c r="G523" i="2"/>
  <c r="F523" i="2"/>
  <c r="H523" i="2"/>
  <c r="I523" i="2"/>
  <c r="B522" i="2"/>
  <c r="D522" i="2"/>
  <c r="E522" i="2"/>
  <c r="G522" i="2"/>
  <c r="F522" i="2"/>
  <c r="H522" i="2"/>
  <c r="I522" i="2"/>
  <c r="B521" i="2"/>
  <c r="D521" i="2"/>
  <c r="E521" i="2"/>
  <c r="G521" i="2"/>
  <c r="F521" i="2"/>
  <c r="H521" i="2"/>
  <c r="I521" i="2"/>
  <c r="B520" i="2"/>
  <c r="D520" i="2"/>
  <c r="E520" i="2"/>
  <c r="G520" i="2"/>
  <c r="F520" i="2"/>
  <c r="H520" i="2"/>
  <c r="I520" i="2"/>
  <c r="B519" i="2"/>
  <c r="D519" i="2"/>
  <c r="E519" i="2"/>
  <c r="G519" i="2"/>
  <c r="F519" i="2"/>
  <c r="H519" i="2"/>
  <c r="I519" i="2"/>
  <c r="B518" i="2"/>
  <c r="D518" i="2"/>
  <c r="E518" i="2"/>
  <c r="G518" i="2"/>
  <c r="F518" i="2"/>
  <c r="H518" i="2"/>
  <c r="I518" i="2"/>
  <c r="B517" i="2"/>
  <c r="D517" i="2"/>
  <c r="E517" i="2"/>
  <c r="G517" i="2"/>
  <c r="F517" i="2"/>
  <c r="H517" i="2"/>
  <c r="I517" i="2"/>
  <c r="B516" i="2"/>
  <c r="D516" i="2"/>
  <c r="E516" i="2"/>
  <c r="G516" i="2"/>
  <c r="F516" i="2"/>
  <c r="H516" i="2"/>
  <c r="I516" i="2"/>
  <c r="B515" i="2"/>
  <c r="D515" i="2"/>
  <c r="E515" i="2"/>
  <c r="G515" i="2"/>
  <c r="F515" i="2"/>
  <c r="H515" i="2"/>
  <c r="I515" i="2"/>
  <c r="B514" i="2"/>
  <c r="D514" i="2"/>
  <c r="E514" i="2"/>
  <c r="G514" i="2"/>
  <c r="F514" i="2"/>
  <c r="H514" i="2"/>
  <c r="I514" i="2"/>
  <c r="B513" i="2"/>
  <c r="D513" i="2"/>
  <c r="E513" i="2"/>
  <c r="G513" i="2"/>
  <c r="F513" i="2"/>
  <c r="H513" i="2"/>
  <c r="I513" i="2"/>
  <c r="B512" i="2"/>
  <c r="D512" i="2"/>
  <c r="E512" i="2"/>
  <c r="G512" i="2"/>
  <c r="F512" i="2"/>
  <c r="H512" i="2"/>
  <c r="I512" i="2"/>
  <c r="B511" i="2"/>
  <c r="D511" i="2"/>
  <c r="E511" i="2"/>
  <c r="G511" i="2"/>
  <c r="F511" i="2"/>
  <c r="H511" i="2"/>
  <c r="I511" i="2"/>
  <c r="B510" i="2"/>
  <c r="D510" i="2"/>
  <c r="E510" i="2"/>
  <c r="G510" i="2"/>
  <c r="F510" i="2"/>
  <c r="H510" i="2"/>
  <c r="I510" i="2"/>
  <c r="B509" i="2"/>
  <c r="D509" i="2"/>
  <c r="E509" i="2"/>
  <c r="G509" i="2"/>
  <c r="F509" i="2"/>
  <c r="H509" i="2"/>
  <c r="I509" i="2"/>
  <c r="B508" i="2"/>
  <c r="D508" i="2"/>
  <c r="E508" i="2"/>
  <c r="G508" i="2"/>
  <c r="F508" i="2"/>
  <c r="H508" i="2"/>
  <c r="I508" i="2"/>
  <c r="B507" i="2"/>
  <c r="D507" i="2"/>
  <c r="E507" i="2"/>
  <c r="G507" i="2"/>
  <c r="F507" i="2"/>
  <c r="H507" i="2"/>
  <c r="I507" i="2"/>
  <c r="B506" i="2"/>
  <c r="D506" i="2"/>
  <c r="E506" i="2"/>
  <c r="G506" i="2"/>
  <c r="F506" i="2"/>
  <c r="H506" i="2"/>
  <c r="I506" i="2"/>
  <c r="B505" i="2"/>
  <c r="D505" i="2"/>
  <c r="E505" i="2"/>
  <c r="G505" i="2"/>
  <c r="F505" i="2"/>
  <c r="H505" i="2"/>
  <c r="I505" i="2"/>
  <c r="B504" i="2"/>
  <c r="D504" i="2"/>
  <c r="E504" i="2"/>
  <c r="G504" i="2"/>
  <c r="F504" i="2"/>
  <c r="H504" i="2"/>
  <c r="I504" i="2"/>
  <c r="B503" i="2"/>
  <c r="D503" i="2"/>
  <c r="E503" i="2"/>
  <c r="G503" i="2"/>
  <c r="F503" i="2"/>
  <c r="H503" i="2"/>
  <c r="I503" i="2"/>
  <c r="B502" i="2"/>
  <c r="D502" i="2"/>
  <c r="E502" i="2"/>
  <c r="G502" i="2"/>
  <c r="F502" i="2"/>
  <c r="H502" i="2"/>
  <c r="I502" i="2"/>
  <c r="B501" i="2"/>
  <c r="D501" i="2"/>
  <c r="E501" i="2"/>
  <c r="G501" i="2"/>
  <c r="F501" i="2"/>
  <c r="H501" i="2"/>
  <c r="I501" i="2"/>
  <c r="B500" i="2"/>
  <c r="D500" i="2"/>
  <c r="E500" i="2"/>
  <c r="G500" i="2"/>
  <c r="F500" i="2"/>
  <c r="H500" i="2"/>
  <c r="I500" i="2"/>
  <c r="B499" i="2"/>
  <c r="D499" i="2"/>
  <c r="E499" i="2"/>
  <c r="G499" i="2"/>
  <c r="F499" i="2"/>
  <c r="H499" i="2"/>
  <c r="I499" i="2"/>
  <c r="B498" i="2"/>
  <c r="D498" i="2"/>
  <c r="E498" i="2"/>
  <c r="G498" i="2"/>
  <c r="F498" i="2"/>
  <c r="H498" i="2"/>
  <c r="I498" i="2"/>
  <c r="B497" i="2"/>
  <c r="D497" i="2"/>
  <c r="E497" i="2"/>
  <c r="G497" i="2"/>
  <c r="F497" i="2"/>
  <c r="H497" i="2"/>
  <c r="I497" i="2"/>
  <c r="B496" i="2"/>
  <c r="D496" i="2"/>
  <c r="E496" i="2"/>
  <c r="G496" i="2"/>
  <c r="F496" i="2"/>
  <c r="H496" i="2"/>
  <c r="I496" i="2"/>
  <c r="B495" i="2"/>
  <c r="D495" i="2"/>
  <c r="E495" i="2"/>
  <c r="G495" i="2"/>
  <c r="F495" i="2"/>
  <c r="H495" i="2"/>
  <c r="I495" i="2"/>
  <c r="B494" i="2"/>
  <c r="D494" i="2"/>
  <c r="E494" i="2"/>
  <c r="G494" i="2"/>
  <c r="F494" i="2"/>
  <c r="H494" i="2"/>
  <c r="I494" i="2"/>
  <c r="B493" i="2"/>
  <c r="D493" i="2"/>
  <c r="E493" i="2"/>
  <c r="G493" i="2"/>
  <c r="F493" i="2"/>
  <c r="H493" i="2"/>
  <c r="I493" i="2"/>
  <c r="B492" i="2"/>
  <c r="D492" i="2"/>
  <c r="E492" i="2"/>
  <c r="G492" i="2"/>
  <c r="F492" i="2"/>
  <c r="H492" i="2"/>
  <c r="I492" i="2"/>
  <c r="B491" i="2"/>
  <c r="D491" i="2"/>
  <c r="E491" i="2"/>
  <c r="G491" i="2"/>
  <c r="F491" i="2"/>
  <c r="H491" i="2"/>
  <c r="I491" i="2"/>
  <c r="B490" i="2"/>
  <c r="D490" i="2"/>
  <c r="E490" i="2"/>
  <c r="G490" i="2"/>
  <c r="F490" i="2"/>
  <c r="H490" i="2"/>
  <c r="I490" i="2"/>
  <c r="B489" i="2"/>
  <c r="D489" i="2"/>
  <c r="E489" i="2"/>
  <c r="G489" i="2"/>
  <c r="F489" i="2"/>
  <c r="H489" i="2"/>
  <c r="I489" i="2"/>
  <c r="B488" i="2"/>
  <c r="D488" i="2"/>
  <c r="E488" i="2"/>
  <c r="G488" i="2"/>
  <c r="F488" i="2"/>
  <c r="H488" i="2"/>
  <c r="I488" i="2"/>
  <c r="B487" i="2"/>
  <c r="D487" i="2"/>
  <c r="E487" i="2"/>
  <c r="G487" i="2"/>
  <c r="F487" i="2"/>
  <c r="H487" i="2"/>
  <c r="I487" i="2"/>
  <c r="B486" i="2"/>
  <c r="D486" i="2"/>
  <c r="E486" i="2"/>
  <c r="G486" i="2"/>
  <c r="F486" i="2"/>
  <c r="H486" i="2"/>
  <c r="I486" i="2"/>
  <c r="B485" i="2"/>
  <c r="D485" i="2"/>
  <c r="E485" i="2"/>
  <c r="G485" i="2"/>
  <c r="F485" i="2"/>
  <c r="H485" i="2"/>
  <c r="I485" i="2"/>
  <c r="B484" i="2"/>
  <c r="D484" i="2"/>
  <c r="E484" i="2"/>
  <c r="G484" i="2"/>
  <c r="F484" i="2"/>
  <c r="H484" i="2"/>
  <c r="I484" i="2"/>
  <c r="B483" i="2"/>
  <c r="D483" i="2"/>
  <c r="E483" i="2"/>
  <c r="G483" i="2"/>
  <c r="F483" i="2"/>
  <c r="H483" i="2"/>
  <c r="I483" i="2"/>
  <c r="B482" i="2"/>
  <c r="D482" i="2"/>
  <c r="E482" i="2"/>
  <c r="G482" i="2"/>
  <c r="F482" i="2"/>
  <c r="H482" i="2"/>
  <c r="I482" i="2"/>
  <c r="B481" i="2"/>
  <c r="D481" i="2"/>
  <c r="E481" i="2"/>
  <c r="G481" i="2"/>
  <c r="F481" i="2"/>
  <c r="H481" i="2"/>
  <c r="I481" i="2"/>
  <c r="B480" i="2"/>
  <c r="D480" i="2"/>
  <c r="E480" i="2"/>
  <c r="G480" i="2"/>
  <c r="F480" i="2"/>
  <c r="H480" i="2"/>
  <c r="I480" i="2"/>
  <c r="B479" i="2"/>
  <c r="D479" i="2"/>
  <c r="E479" i="2"/>
  <c r="G479" i="2"/>
  <c r="F479" i="2"/>
  <c r="H479" i="2"/>
  <c r="I479" i="2"/>
  <c r="B478" i="2"/>
  <c r="D478" i="2"/>
  <c r="E478" i="2"/>
  <c r="G478" i="2"/>
  <c r="F478" i="2"/>
  <c r="H478" i="2"/>
  <c r="I478" i="2"/>
  <c r="B477" i="2"/>
  <c r="D477" i="2"/>
  <c r="E477" i="2"/>
  <c r="G477" i="2"/>
  <c r="F477" i="2"/>
  <c r="H477" i="2"/>
  <c r="I477" i="2"/>
  <c r="B476" i="2"/>
  <c r="D476" i="2"/>
  <c r="E476" i="2"/>
  <c r="G476" i="2"/>
  <c r="F476" i="2"/>
  <c r="H476" i="2"/>
  <c r="I476" i="2"/>
  <c r="B475" i="2"/>
  <c r="D475" i="2"/>
  <c r="E475" i="2"/>
  <c r="G475" i="2"/>
  <c r="F475" i="2"/>
  <c r="H475" i="2"/>
  <c r="I475" i="2"/>
  <c r="B474" i="2"/>
  <c r="D474" i="2"/>
  <c r="E474" i="2"/>
  <c r="G474" i="2"/>
  <c r="F474" i="2"/>
  <c r="H474" i="2"/>
  <c r="I474" i="2"/>
  <c r="B473" i="2"/>
  <c r="D473" i="2"/>
  <c r="E473" i="2"/>
  <c r="G473" i="2"/>
  <c r="F473" i="2"/>
  <c r="H473" i="2"/>
  <c r="I473" i="2"/>
  <c r="B472" i="2"/>
  <c r="D472" i="2"/>
  <c r="E472" i="2"/>
  <c r="G472" i="2"/>
  <c r="F472" i="2"/>
  <c r="H472" i="2"/>
  <c r="I472" i="2"/>
  <c r="B471" i="2"/>
  <c r="D471" i="2"/>
  <c r="E471" i="2"/>
  <c r="G471" i="2"/>
  <c r="F471" i="2"/>
  <c r="H471" i="2"/>
  <c r="I471" i="2"/>
  <c r="B470" i="2"/>
  <c r="D470" i="2"/>
  <c r="E470" i="2"/>
  <c r="G470" i="2"/>
  <c r="F470" i="2"/>
  <c r="H470" i="2"/>
  <c r="I470" i="2"/>
  <c r="B469" i="2"/>
  <c r="D469" i="2"/>
  <c r="E469" i="2"/>
  <c r="G469" i="2"/>
  <c r="F469" i="2"/>
  <c r="H469" i="2"/>
  <c r="I469" i="2"/>
  <c r="B468" i="2"/>
  <c r="D468" i="2"/>
  <c r="E468" i="2"/>
  <c r="G468" i="2"/>
  <c r="F468" i="2"/>
  <c r="H468" i="2"/>
  <c r="I468" i="2"/>
  <c r="B467" i="2"/>
  <c r="D467" i="2"/>
  <c r="E467" i="2"/>
  <c r="G467" i="2"/>
  <c r="F467" i="2"/>
  <c r="H467" i="2"/>
  <c r="I467" i="2"/>
  <c r="B466" i="2"/>
  <c r="D466" i="2"/>
  <c r="E466" i="2"/>
  <c r="G466" i="2"/>
  <c r="F466" i="2"/>
  <c r="H466" i="2"/>
  <c r="I466" i="2"/>
  <c r="B465" i="2"/>
  <c r="D465" i="2"/>
  <c r="E465" i="2"/>
  <c r="G465" i="2"/>
  <c r="F465" i="2"/>
  <c r="H465" i="2"/>
  <c r="I465" i="2"/>
  <c r="B464" i="2"/>
  <c r="D464" i="2"/>
  <c r="E464" i="2"/>
  <c r="G464" i="2"/>
  <c r="F464" i="2"/>
  <c r="H464" i="2"/>
  <c r="I464" i="2"/>
  <c r="B463" i="2"/>
  <c r="D463" i="2"/>
  <c r="E463" i="2"/>
  <c r="G463" i="2"/>
  <c r="F463" i="2"/>
  <c r="H463" i="2"/>
  <c r="I463" i="2"/>
  <c r="B462" i="2"/>
  <c r="D462" i="2"/>
  <c r="E462" i="2"/>
  <c r="G462" i="2"/>
  <c r="F462" i="2"/>
  <c r="H462" i="2"/>
  <c r="I462" i="2"/>
  <c r="B461" i="2"/>
  <c r="D461" i="2"/>
  <c r="E461" i="2"/>
  <c r="G461" i="2"/>
  <c r="F461" i="2"/>
  <c r="H461" i="2"/>
  <c r="I461" i="2"/>
  <c r="B460" i="2"/>
  <c r="D460" i="2"/>
  <c r="E460" i="2"/>
  <c r="G460" i="2"/>
  <c r="F460" i="2"/>
  <c r="H460" i="2"/>
  <c r="I460" i="2"/>
  <c r="B459" i="2"/>
  <c r="D459" i="2"/>
  <c r="E459" i="2"/>
  <c r="G459" i="2"/>
  <c r="F459" i="2"/>
  <c r="H459" i="2"/>
  <c r="I459" i="2"/>
  <c r="B458" i="2"/>
  <c r="D458" i="2"/>
  <c r="E458" i="2"/>
  <c r="G458" i="2"/>
  <c r="F458" i="2"/>
  <c r="H458" i="2"/>
  <c r="I458" i="2"/>
  <c r="B457" i="2"/>
  <c r="D457" i="2"/>
  <c r="E457" i="2"/>
  <c r="G457" i="2"/>
  <c r="F457" i="2"/>
  <c r="H457" i="2"/>
  <c r="I457" i="2"/>
  <c r="B456" i="2"/>
  <c r="D456" i="2"/>
  <c r="E456" i="2"/>
  <c r="G456" i="2"/>
  <c r="F456" i="2"/>
  <c r="H456" i="2"/>
  <c r="I456" i="2"/>
  <c r="B455" i="2"/>
  <c r="D455" i="2"/>
  <c r="E455" i="2"/>
  <c r="G455" i="2"/>
  <c r="F455" i="2"/>
  <c r="H455" i="2"/>
  <c r="I455" i="2"/>
  <c r="B454" i="2"/>
  <c r="D454" i="2"/>
  <c r="E454" i="2"/>
  <c r="G454" i="2"/>
  <c r="F454" i="2"/>
  <c r="H454" i="2"/>
  <c r="I454" i="2"/>
  <c r="B453" i="2"/>
  <c r="D453" i="2"/>
  <c r="E453" i="2"/>
  <c r="G453" i="2"/>
  <c r="F453" i="2"/>
  <c r="H453" i="2"/>
  <c r="I453" i="2"/>
  <c r="B452" i="2"/>
  <c r="D452" i="2"/>
  <c r="E452" i="2"/>
  <c r="G452" i="2"/>
  <c r="F452" i="2"/>
  <c r="H452" i="2"/>
  <c r="I452" i="2"/>
  <c r="B451" i="2"/>
  <c r="D451" i="2"/>
  <c r="E451" i="2"/>
  <c r="G451" i="2"/>
  <c r="F451" i="2"/>
  <c r="H451" i="2"/>
  <c r="I451" i="2"/>
  <c r="B450" i="2"/>
  <c r="D450" i="2"/>
  <c r="E450" i="2"/>
  <c r="G450" i="2"/>
  <c r="F450" i="2"/>
  <c r="H450" i="2"/>
  <c r="I450" i="2"/>
  <c r="B449" i="2"/>
  <c r="D449" i="2"/>
  <c r="E449" i="2"/>
  <c r="G449" i="2"/>
  <c r="F449" i="2"/>
  <c r="H449" i="2"/>
  <c r="I449" i="2"/>
  <c r="B448" i="2"/>
  <c r="D448" i="2"/>
  <c r="E448" i="2"/>
  <c r="G448" i="2"/>
  <c r="F448" i="2"/>
  <c r="H448" i="2"/>
  <c r="I448" i="2"/>
  <c r="B447" i="2"/>
  <c r="D447" i="2"/>
  <c r="E447" i="2"/>
  <c r="G447" i="2"/>
  <c r="F447" i="2"/>
  <c r="H447" i="2"/>
  <c r="I447" i="2"/>
  <c r="B446" i="2"/>
  <c r="D446" i="2"/>
  <c r="E446" i="2"/>
  <c r="G446" i="2"/>
  <c r="F446" i="2"/>
  <c r="H446" i="2"/>
  <c r="I446" i="2"/>
  <c r="B445" i="2"/>
  <c r="D445" i="2"/>
  <c r="E445" i="2"/>
  <c r="G445" i="2"/>
  <c r="F445" i="2"/>
  <c r="H445" i="2"/>
  <c r="I445" i="2"/>
  <c r="B444" i="2"/>
  <c r="D444" i="2"/>
  <c r="E444" i="2"/>
  <c r="G444" i="2"/>
  <c r="F444" i="2"/>
  <c r="H444" i="2"/>
  <c r="I444" i="2"/>
  <c r="B443" i="2"/>
  <c r="D443" i="2"/>
  <c r="E443" i="2"/>
  <c r="G443" i="2"/>
  <c r="F443" i="2"/>
  <c r="H443" i="2"/>
  <c r="I443" i="2"/>
  <c r="B442" i="2"/>
  <c r="D442" i="2"/>
  <c r="E442" i="2"/>
  <c r="G442" i="2"/>
  <c r="F442" i="2"/>
  <c r="H442" i="2"/>
  <c r="I442" i="2"/>
  <c r="B441" i="2"/>
  <c r="D441" i="2"/>
  <c r="E441" i="2"/>
  <c r="G441" i="2"/>
  <c r="F441" i="2"/>
  <c r="H441" i="2"/>
  <c r="I441" i="2"/>
  <c r="B440" i="2"/>
  <c r="D440" i="2"/>
  <c r="E440" i="2"/>
  <c r="G440" i="2"/>
  <c r="F440" i="2"/>
  <c r="H440" i="2"/>
  <c r="I440" i="2"/>
  <c r="B439" i="2"/>
  <c r="D439" i="2"/>
  <c r="E439" i="2"/>
  <c r="G439" i="2"/>
  <c r="F439" i="2"/>
  <c r="H439" i="2"/>
  <c r="I439" i="2"/>
  <c r="B438" i="2"/>
  <c r="D438" i="2"/>
  <c r="E438" i="2"/>
  <c r="G438" i="2"/>
  <c r="F438" i="2"/>
  <c r="H438" i="2"/>
  <c r="I438" i="2"/>
  <c r="B437" i="2"/>
  <c r="D437" i="2"/>
  <c r="E437" i="2"/>
  <c r="G437" i="2"/>
  <c r="F437" i="2"/>
  <c r="H437" i="2"/>
  <c r="I437" i="2"/>
  <c r="B436" i="2"/>
  <c r="D436" i="2"/>
  <c r="E436" i="2"/>
  <c r="G436" i="2"/>
  <c r="F436" i="2"/>
  <c r="H436" i="2"/>
  <c r="I436" i="2"/>
  <c r="B435" i="2"/>
  <c r="D435" i="2"/>
  <c r="E435" i="2"/>
  <c r="G435" i="2"/>
  <c r="F435" i="2"/>
  <c r="H435" i="2"/>
  <c r="I435" i="2"/>
  <c r="B434" i="2"/>
  <c r="D434" i="2"/>
  <c r="E434" i="2"/>
  <c r="G434" i="2"/>
  <c r="F434" i="2"/>
  <c r="H434" i="2"/>
  <c r="I434" i="2"/>
  <c r="B433" i="2"/>
  <c r="D433" i="2"/>
  <c r="E433" i="2"/>
  <c r="G433" i="2"/>
  <c r="F433" i="2"/>
  <c r="H433" i="2"/>
  <c r="I433" i="2"/>
  <c r="B432" i="2"/>
  <c r="D432" i="2"/>
  <c r="E432" i="2"/>
  <c r="G432" i="2"/>
  <c r="F432" i="2"/>
  <c r="H432" i="2"/>
  <c r="I432" i="2"/>
  <c r="B431" i="2"/>
  <c r="D431" i="2"/>
  <c r="E431" i="2"/>
  <c r="G431" i="2"/>
  <c r="F431" i="2"/>
  <c r="H431" i="2"/>
  <c r="I431" i="2"/>
  <c r="B430" i="2"/>
  <c r="D430" i="2"/>
  <c r="E430" i="2"/>
  <c r="G430" i="2"/>
  <c r="F430" i="2"/>
  <c r="H430" i="2"/>
  <c r="I430" i="2"/>
  <c r="B429" i="2"/>
  <c r="D429" i="2"/>
  <c r="E429" i="2"/>
  <c r="G429" i="2"/>
  <c r="F429" i="2"/>
  <c r="H429" i="2"/>
  <c r="I429" i="2"/>
  <c r="B428" i="2"/>
  <c r="D428" i="2"/>
  <c r="E428" i="2"/>
  <c r="G428" i="2"/>
  <c r="F428" i="2"/>
  <c r="H428" i="2"/>
  <c r="I428" i="2"/>
  <c r="B427" i="2"/>
  <c r="D427" i="2"/>
  <c r="E427" i="2"/>
  <c r="G427" i="2"/>
  <c r="F427" i="2"/>
  <c r="H427" i="2"/>
  <c r="I427" i="2"/>
  <c r="B426" i="2"/>
  <c r="D426" i="2"/>
  <c r="E426" i="2"/>
  <c r="G426" i="2"/>
  <c r="F426" i="2"/>
  <c r="H426" i="2"/>
  <c r="I426" i="2"/>
  <c r="B425" i="2"/>
  <c r="D425" i="2"/>
  <c r="E425" i="2"/>
  <c r="G425" i="2"/>
  <c r="F425" i="2"/>
  <c r="H425" i="2"/>
  <c r="I425" i="2"/>
  <c r="B424" i="2"/>
  <c r="D424" i="2"/>
  <c r="E424" i="2"/>
  <c r="G424" i="2"/>
  <c r="F424" i="2"/>
  <c r="H424" i="2"/>
  <c r="I424" i="2"/>
  <c r="B423" i="2"/>
  <c r="D423" i="2"/>
  <c r="E423" i="2"/>
  <c r="G423" i="2"/>
  <c r="F423" i="2"/>
  <c r="H423" i="2"/>
  <c r="I423" i="2"/>
  <c r="B422" i="2"/>
  <c r="D422" i="2"/>
  <c r="E422" i="2"/>
  <c r="G422" i="2"/>
  <c r="F422" i="2"/>
  <c r="H422" i="2"/>
  <c r="I422" i="2"/>
  <c r="B421" i="2"/>
  <c r="D421" i="2"/>
  <c r="E421" i="2"/>
  <c r="G421" i="2"/>
  <c r="F421" i="2"/>
  <c r="H421" i="2"/>
  <c r="I421" i="2"/>
  <c r="B420" i="2"/>
  <c r="D420" i="2"/>
  <c r="E420" i="2"/>
  <c r="G420" i="2"/>
  <c r="F420" i="2"/>
  <c r="H420" i="2"/>
  <c r="I420" i="2"/>
  <c r="B419" i="2"/>
  <c r="D419" i="2"/>
  <c r="E419" i="2"/>
  <c r="G419" i="2"/>
  <c r="F419" i="2"/>
  <c r="H419" i="2"/>
  <c r="I419" i="2"/>
  <c r="B418" i="2"/>
  <c r="D418" i="2"/>
  <c r="E418" i="2"/>
  <c r="G418" i="2"/>
  <c r="F418" i="2"/>
  <c r="H418" i="2"/>
  <c r="I418" i="2"/>
  <c r="B417" i="2"/>
  <c r="D417" i="2"/>
  <c r="E417" i="2"/>
  <c r="G417" i="2"/>
  <c r="F417" i="2"/>
  <c r="H417" i="2"/>
  <c r="I417" i="2"/>
  <c r="B416" i="2"/>
  <c r="D416" i="2"/>
  <c r="E416" i="2"/>
  <c r="G416" i="2"/>
  <c r="F416" i="2"/>
  <c r="H416" i="2"/>
  <c r="I416" i="2"/>
  <c r="B415" i="2"/>
  <c r="D415" i="2"/>
  <c r="E415" i="2"/>
  <c r="G415" i="2"/>
  <c r="F415" i="2"/>
  <c r="H415" i="2"/>
  <c r="I415" i="2"/>
  <c r="B414" i="2"/>
  <c r="D414" i="2"/>
  <c r="E414" i="2"/>
  <c r="G414" i="2"/>
  <c r="F414" i="2"/>
  <c r="H414" i="2"/>
  <c r="I414" i="2"/>
  <c r="B413" i="2"/>
  <c r="D413" i="2"/>
  <c r="E413" i="2"/>
  <c r="G413" i="2"/>
  <c r="F413" i="2"/>
  <c r="H413" i="2"/>
  <c r="I413" i="2"/>
  <c r="B412" i="2"/>
  <c r="D412" i="2"/>
  <c r="E412" i="2"/>
  <c r="G412" i="2"/>
  <c r="F412" i="2"/>
  <c r="H412" i="2"/>
  <c r="I412" i="2"/>
  <c r="B411" i="2"/>
  <c r="D411" i="2"/>
  <c r="E411" i="2"/>
  <c r="G411" i="2"/>
  <c r="F411" i="2"/>
  <c r="H411" i="2"/>
  <c r="I411" i="2"/>
  <c r="B410" i="2"/>
  <c r="D410" i="2"/>
  <c r="E410" i="2"/>
  <c r="G410" i="2"/>
  <c r="F410" i="2"/>
  <c r="H410" i="2"/>
  <c r="I410" i="2"/>
  <c r="B409" i="2"/>
  <c r="D409" i="2"/>
  <c r="E409" i="2"/>
  <c r="G409" i="2"/>
  <c r="F409" i="2"/>
  <c r="H409" i="2"/>
  <c r="I409" i="2"/>
  <c r="B408" i="2"/>
  <c r="D408" i="2"/>
  <c r="E408" i="2"/>
  <c r="G408" i="2"/>
  <c r="F408" i="2"/>
  <c r="H408" i="2"/>
  <c r="I408" i="2"/>
  <c r="B407" i="2"/>
  <c r="D407" i="2"/>
  <c r="E407" i="2"/>
  <c r="G407" i="2"/>
  <c r="F407" i="2"/>
  <c r="H407" i="2"/>
  <c r="I407" i="2"/>
  <c r="B406" i="2"/>
  <c r="D406" i="2"/>
  <c r="E406" i="2"/>
  <c r="G406" i="2"/>
  <c r="F406" i="2"/>
  <c r="H406" i="2"/>
  <c r="I406" i="2"/>
  <c r="B405" i="2"/>
  <c r="D405" i="2"/>
  <c r="E405" i="2"/>
  <c r="G405" i="2"/>
  <c r="F405" i="2"/>
  <c r="H405" i="2"/>
  <c r="I405" i="2"/>
  <c r="B404" i="2"/>
  <c r="D404" i="2"/>
  <c r="E404" i="2"/>
  <c r="G404" i="2"/>
  <c r="F404" i="2"/>
  <c r="H404" i="2"/>
  <c r="I404" i="2"/>
  <c r="B403" i="2"/>
  <c r="D403" i="2"/>
  <c r="E403" i="2"/>
  <c r="G403" i="2"/>
  <c r="F403" i="2"/>
  <c r="H403" i="2"/>
  <c r="I403" i="2"/>
  <c r="B402" i="2"/>
  <c r="D402" i="2"/>
  <c r="E402" i="2"/>
  <c r="G402" i="2"/>
  <c r="F402" i="2"/>
  <c r="H402" i="2"/>
  <c r="I402" i="2"/>
  <c r="B401" i="2"/>
  <c r="D401" i="2"/>
  <c r="E401" i="2"/>
  <c r="G401" i="2"/>
  <c r="F401" i="2"/>
  <c r="H401" i="2"/>
  <c r="I401" i="2"/>
  <c r="B400" i="2"/>
  <c r="D400" i="2"/>
  <c r="E400" i="2"/>
  <c r="G400" i="2"/>
  <c r="F400" i="2"/>
  <c r="H400" i="2"/>
  <c r="I400" i="2"/>
  <c r="B399" i="2"/>
  <c r="D399" i="2"/>
  <c r="E399" i="2"/>
  <c r="G399" i="2"/>
  <c r="F399" i="2"/>
  <c r="H399" i="2"/>
  <c r="I399" i="2"/>
  <c r="B398" i="2"/>
  <c r="D398" i="2"/>
  <c r="E398" i="2"/>
  <c r="G398" i="2"/>
  <c r="F398" i="2"/>
  <c r="H398" i="2"/>
  <c r="I398" i="2"/>
  <c r="B397" i="2"/>
  <c r="D397" i="2"/>
  <c r="E397" i="2"/>
  <c r="G397" i="2"/>
  <c r="F397" i="2"/>
  <c r="H397" i="2"/>
  <c r="I397" i="2"/>
  <c r="B396" i="2"/>
  <c r="D396" i="2"/>
  <c r="E396" i="2"/>
  <c r="G396" i="2"/>
  <c r="F396" i="2"/>
  <c r="H396" i="2"/>
  <c r="I396" i="2"/>
  <c r="B395" i="2"/>
  <c r="D395" i="2"/>
  <c r="E395" i="2"/>
  <c r="G395" i="2"/>
  <c r="F395" i="2"/>
  <c r="H395" i="2"/>
  <c r="I395" i="2"/>
  <c r="B394" i="2"/>
  <c r="D394" i="2"/>
  <c r="E394" i="2"/>
  <c r="G394" i="2"/>
  <c r="F394" i="2"/>
  <c r="H394" i="2"/>
  <c r="I394" i="2"/>
  <c r="B393" i="2"/>
  <c r="D393" i="2"/>
  <c r="E393" i="2"/>
  <c r="G393" i="2"/>
  <c r="F393" i="2"/>
  <c r="H393" i="2"/>
  <c r="I393" i="2"/>
  <c r="B392" i="2"/>
  <c r="D392" i="2"/>
  <c r="E392" i="2"/>
  <c r="G392" i="2"/>
  <c r="F392" i="2"/>
  <c r="H392" i="2"/>
  <c r="I392" i="2"/>
  <c r="B391" i="2"/>
  <c r="D391" i="2"/>
  <c r="E391" i="2"/>
  <c r="G391" i="2"/>
  <c r="F391" i="2"/>
  <c r="H391" i="2"/>
  <c r="I391" i="2"/>
  <c r="B390" i="2"/>
  <c r="D390" i="2"/>
  <c r="E390" i="2"/>
  <c r="G390" i="2"/>
  <c r="F390" i="2"/>
  <c r="H390" i="2"/>
  <c r="I390" i="2"/>
  <c r="B389" i="2"/>
  <c r="D389" i="2"/>
  <c r="E389" i="2"/>
  <c r="G389" i="2"/>
  <c r="F389" i="2"/>
  <c r="H389" i="2"/>
  <c r="I389" i="2"/>
  <c r="B388" i="2"/>
  <c r="D388" i="2"/>
  <c r="E388" i="2"/>
  <c r="G388" i="2"/>
  <c r="F388" i="2"/>
  <c r="H388" i="2"/>
  <c r="I388" i="2"/>
  <c r="B387" i="2"/>
  <c r="D387" i="2"/>
  <c r="E387" i="2"/>
  <c r="G387" i="2"/>
  <c r="F387" i="2"/>
  <c r="H387" i="2"/>
  <c r="I387" i="2"/>
  <c r="B386" i="2"/>
  <c r="D386" i="2"/>
  <c r="E386" i="2"/>
  <c r="G386" i="2"/>
  <c r="F386" i="2"/>
  <c r="H386" i="2"/>
  <c r="I386" i="2"/>
  <c r="B385" i="2"/>
  <c r="D385" i="2"/>
  <c r="E385" i="2"/>
  <c r="G385" i="2"/>
  <c r="F385" i="2"/>
  <c r="H385" i="2"/>
  <c r="I385" i="2"/>
  <c r="B384" i="2"/>
  <c r="D384" i="2"/>
  <c r="E384" i="2"/>
  <c r="G384" i="2"/>
  <c r="F384" i="2"/>
  <c r="H384" i="2"/>
  <c r="I384" i="2"/>
  <c r="B383" i="2"/>
  <c r="D383" i="2"/>
  <c r="E383" i="2"/>
  <c r="G383" i="2"/>
  <c r="F383" i="2"/>
  <c r="H383" i="2"/>
  <c r="I383" i="2"/>
  <c r="B382" i="2"/>
  <c r="D382" i="2"/>
  <c r="E382" i="2"/>
  <c r="G382" i="2"/>
  <c r="F382" i="2"/>
  <c r="H382" i="2"/>
  <c r="I382" i="2"/>
  <c r="B381" i="2"/>
  <c r="D381" i="2"/>
  <c r="E381" i="2"/>
  <c r="G381" i="2"/>
  <c r="F381" i="2"/>
  <c r="H381" i="2"/>
  <c r="I381" i="2"/>
  <c r="B380" i="2"/>
  <c r="D380" i="2"/>
  <c r="E380" i="2"/>
  <c r="G380" i="2"/>
  <c r="F380" i="2"/>
  <c r="H380" i="2"/>
  <c r="I380" i="2"/>
  <c r="B379" i="2"/>
  <c r="D379" i="2"/>
  <c r="E379" i="2"/>
  <c r="G379" i="2"/>
  <c r="F379" i="2"/>
  <c r="H379" i="2"/>
  <c r="I379" i="2"/>
  <c r="B378" i="2"/>
  <c r="D378" i="2"/>
  <c r="E378" i="2"/>
  <c r="G378" i="2"/>
  <c r="F378" i="2"/>
  <c r="H378" i="2"/>
  <c r="I378" i="2"/>
  <c r="B377" i="2"/>
  <c r="D377" i="2"/>
  <c r="E377" i="2"/>
  <c r="G377" i="2"/>
  <c r="F377" i="2"/>
  <c r="H377" i="2"/>
  <c r="I377" i="2"/>
  <c r="B376" i="2"/>
  <c r="D376" i="2"/>
  <c r="E376" i="2"/>
  <c r="G376" i="2"/>
  <c r="F376" i="2"/>
  <c r="H376" i="2"/>
  <c r="I376" i="2"/>
  <c r="B375" i="2"/>
  <c r="D375" i="2"/>
  <c r="E375" i="2"/>
  <c r="G375" i="2"/>
  <c r="F375" i="2"/>
  <c r="H375" i="2"/>
  <c r="I375" i="2"/>
  <c r="B374" i="2"/>
  <c r="D374" i="2"/>
  <c r="E374" i="2"/>
  <c r="G374" i="2"/>
  <c r="F374" i="2"/>
  <c r="H374" i="2"/>
  <c r="I374" i="2"/>
  <c r="B373" i="2"/>
  <c r="D373" i="2"/>
  <c r="E373" i="2"/>
  <c r="G373" i="2"/>
  <c r="F373" i="2"/>
  <c r="H373" i="2"/>
  <c r="I373" i="2"/>
  <c r="B372" i="2"/>
  <c r="D372" i="2"/>
  <c r="E372" i="2"/>
  <c r="G372" i="2"/>
  <c r="F372" i="2"/>
  <c r="H372" i="2"/>
  <c r="I372" i="2"/>
  <c r="B371" i="2"/>
  <c r="D371" i="2"/>
  <c r="E371" i="2"/>
  <c r="G371" i="2"/>
  <c r="F371" i="2"/>
  <c r="H371" i="2"/>
  <c r="I371" i="2"/>
  <c r="B370" i="2"/>
  <c r="D370" i="2"/>
  <c r="E370" i="2"/>
  <c r="G370" i="2"/>
  <c r="F370" i="2"/>
  <c r="H370" i="2"/>
  <c r="I370" i="2"/>
  <c r="B369" i="2"/>
  <c r="D369" i="2"/>
  <c r="E369" i="2"/>
  <c r="G369" i="2"/>
  <c r="F369" i="2"/>
  <c r="H369" i="2"/>
  <c r="I369" i="2"/>
  <c r="B368" i="2"/>
  <c r="D368" i="2"/>
  <c r="E368" i="2"/>
  <c r="G368" i="2"/>
  <c r="F368" i="2"/>
  <c r="H368" i="2"/>
  <c r="I368" i="2"/>
  <c r="B367" i="2"/>
  <c r="D367" i="2"/>
  <c r="E367" i="2"/>
  <c r="G367" i="2"/>
  <c r="F367" i="2"/>
  <c r="H367" i="2"/>
  <c r="I367" i="2"/>
  <c r="B366" i="2"/>
  <c r="D366" i="2"/>
  <c r="E366" i="2"/>
  <c r="G366" i="2"/>
  <c r="F366" i="2"/>
  <c r="H366" i="2"/>
  <c r="I366" i="2"/>
  <c r="B365" i="2"/>
  <c r="D365" i="2"/>
  <c r="E365" i="2"/>
  <c r="G365" i="2"/>
  <c r="F365" i="2"/>
  <c r="H365" i="2"/>
  <c r="I365" i="2"/>
  <c r="B364" i="2"/>
  <c r="D364" i="2"/>
  <c r="E364" i="2"/>
  <c r="G364" i="2"/>
  <c r="F364" i="2"/>
  <c r="H364" i="2"/>
  <c r="I364" i="2"/>
  <c r="B363" i="2"/>
  <c r="D363" i="2"/>
  <c r="E363" i="2"/>
  <c r="G363" i="2"/>
  <c r="F363" i="2"/>
  <c r="H363" i="2"/>
  <c r="I363" i="2"/>
  <c r="B362" i="2"/>
  <c r="D362" i="2"/>
  <c r="E362" i="2"/>
  <c r="G362" i="2"/>
  <c r="F362" i="2"/>
  <c r="H362" i="2"/>
  <c r="I362" i="2"/>
  <c r="B361" i="2"/>
  <c r="D361" i="2"/>
  <c r="E361" i="2"/>
  <c r="G361" i="2"/>
  <c r="F361" i="2"/>
  <c r="H361" i="2"/>
  <c r="I361" i="2"/>
  <c r="B360" i="2"/>
  <c r="D360" i="2"/>
  <c r="E360" i="2"/>
  <c r="G360" i="2"/>
  <c r="F360" i="2"/>
  <c r="H360" i="2"/>
  <c r="I360" i="2"/>
  <c r="B359" i="2"/>
  <c r="D359" i="2"/>
  <c r="E359" i="2"/>
  <c r="G359" i="2"/>
  <c r="F359" i="2"/>
  <c r="H359" i="2"/>
  <c r="I359" i="2"/>
  <c r="B358" i="2"/>
  <c r="D358" i="2"/>
  <c r="E358" i="2"/>
  <c r="G358" i="2"/>
  <c r="F358" i="2"/>
  <c r="H358" i="2"/>
  <c r="I358" i="2"/>
  <c r="B357" i="2"/>
  <c r="D357" i="2"/>
  <c r="E357" i="2"/>
  <c r="G357" i="2"/>
  <c r="F357" i="2"/>
  <c r="H357" i="2"/>
  <c r="I357" i="2"/>
  <c r="B356" i="2"/>
  <c r="D356" i="2"/>
  <c r="E356" i="2"/>
  <c r="G356" i="2"/>
  <c r="F356" i="2"/>
  <c r="H356" i="2"/>
  <c r="I356" i="2"/>
  <c r="B355" i="2"/>
  <c r="D355" i="2"/>
  <c r="E355" i="2"/>
  <c r="G355" i="2"/>
  <c r="F355" i="2"/>
  <c r="H355" i="2"/>
  <c r="I355" i="2"/>
  <c r="B354" i="2"/>
  <c r="D354" i="2"/>
  <c r="E354" i="2"/>
  <c r="G354" i="2"/>
  <c r="F354" i="2"/>
  <c r="H354" i="2"/>
  <c r="I354" i="2"/>
  <c r="B353" i="2"/>
  <c r="D353" i="2"/>
  <c r="E353" i="2"/>
  <c r="G353" i="2"/>
  <c r="F353" i="2"/>
  <c r="H353" i="2"/>
  <c r="I353" i="2"/>
  <c r="B352" i="2"/>
  <c r="D352" i="2"/>
  <c r="E352" i="2"/>
  <c r="G352" i="2"/>
  <c r="F352" i="2"/>
  <c r="H352" i="2"/>
  <c r="I352" i="2"/>
  <c r="B351" i="2"/>
  <c r="D351" i="2"/>
  <c r="E351" i="2"/>
  <c r="G351" i="2"/>
  <c r="F351" i="2"/>
  <c r="H351" i="2"/>
  <c r="I351" i="2"/>
  <c r="B350" i="2"/>
  <c r="D350" i="2"/>
  <c r="E350" i="2"/>
  <c r="G350" i="2"/>
  <c r="F350" i="2"/>
  <c r="H350" i="2"/>
  <c r="I350" i="2"/>
  <c r="B349" i="2"/>
  <c r="D349" i="2"/>
  <c r="E349" i="2"/>
  <c r="G349" i="2"/>
  <c r="F349" i="2"/>
  <c r="H349" i="2"/>
  <c r="I349" i="2"/>
  <c r="B348" i="2"/>
  <c r="D348" i="2"/>
  <c r="E348" i="2"/>
  <c r="G348" i="2"/>
  <c r="F348" i="2"/>
  <c r="H348" i="2"/>
  <c r="I348" i="2"/>
  <c r="B347" i="2"/>
  <c r="D347" i="2"/>
  <c r="E347" i="2"/>
  <c r="G347" i="2"/>
  <c r="F347" i="2"/>
  <c r="H347" i="2"/>
  <c r="I347" i="2"/>
  <c r="B346" i="2"/>
  <c r="D346" i="2"/>
  <c r="E346" i="2"/>
  <c r="G346" i="2"/>
  <c r="F346" i="2"/>
  <c r="H346" i="2"/>
  <c r="I346" i="2"/>
  <c r="B345" i="2"/>
  <c r="D345" i="2"/>
  <c r="E345" i="2"/>
  <c r="G345" i="2"/>
  <c r="F345" i="2"/>
  <c r="H345" i="2"/>
  <c r="I345" i="2"/>
  <c r="B344" i="2"/>
  <c r="D344" i="2"/>
  <c r="E344" i="2"/>
  <c r="G344" i="2"/>
  <c r="F344" i="2"/>
  <c r="H344" i="2"/>
  <c r="I344" i="2"/>
  <c r="B343" i="2"/>
  <c r="D343" i="2"/>
  <c r="E343" i="2"/>
  <c r="G343" i="2"/>
  <c r="F343" i="2"/>
  <c r="H343" i="2"/>
  <c r="I343" i="2"/>
  <c r="B342" i="2"/>
  <c r="D342" i="2"/>
  <c r="E342" i="2"/>
  <c r="G342" i="2"/>
  <c r="F342" i="2"/>
  <c r="H342" i="2"/>
  <c r="I342" i="2"/>
  <c r="B341" i="2"/>
  <c r="D341" i="2"/>
  <c r="E341" i="2"/>
  <c r="G341" i="2"/>
  <c r="F341" i="2"/>
  <c r="H341" i="2"/>
  <c r="I341" i="2"/>
  <c r="B340" i="2"/>
  <c r="D340" i="2"/>
  <c r="E340" i="2"/>
  <c r="G340" i="2"/>
  <c r="F340" i="2"/>
  <c r="H340" i="2"/>
  <c r="I340" i="2"/>
  <c r="B339" i="2"/>
  <c r="D339" i="2"/>
  <c r="E339" i="2"/>
  <c r="G339" i="2"/>
  <c r="F339" i="2"/>
  <c r="H339" i="2"/>
  <c r="I339" i="2"/>
  <c r="B338" i="2"/>
  <c r="D338" i="2"/>
  <c r="E338" i="2"/>
  <c r="G338" i="2"/>
  <c r="F338" i="2"/>
  <c r="H338" i="2"/>
  <c r="I338" i="2"/>
  <c r="B337" i="2"/>
  <c r="D337" i="2"/>
  <c r="E337" i="2"/>
  <c r="G337" i="2"/>
  <c r="F337" i="2"/>
  <c r="H337" i="2"/>
  <c r="I337" i="2"/>
  <c r="B336" i="2"/>
  <c r="D336" i="2"/>
  <c r="E336" i="2"/>
  <c r="G336" i="2"/>
  <c r="F336" i="2"/>
  <c r="H336" i="2"/>
  <c r="I336" i="2"/>
  <c r="B335" i="2"/>
  <c r="D335" i="2"/>
  <c r="E335" i="2"/>
  <c r="G335" i="2"/>
  <c r="F335" i="2"/>
  <c r="H335" i="2"/>
  <c r="I335" i="2"/>
  <c r="B334" i="2"/>
  <c r="D334" i="2"/>
  <c r="E334" i="2"/>
  <c r="G334" i="2"/>
  <c r="F334" i="2"/>
  <c r="H334" i="2"/>
  <c r="I334" i="2"/>
  <c r="B333" i="2"/>
  <c r="D333" i="2"/>
  <c r="E333" i="2"/>
  <c r="G333" i="2"/>
  <c r="F333" i="2"/>
  <c r="H333" i="2"/>
  <c r="I333" i="2"/>
  <c r="B332" i="2"/>
  <c r="D332" i="2"/>
  <c r="E332" i="2"/>
  <c r="G332" i="2"/>
  <c r="F332" i="2"/>
  <c r="H332" i="2"/>
  <c r="I332" i="2"/>
  <c r="B331" i="2"/>
  <c r="D331" i="2"/>
  <c r="E331" i="2"/>
  <c r="G331" i="2"/>
  <c r="F331" i="2"/>
  <c r="H331" i="2"/>
  <c r="I331" i="2"/>
  <c r="B330" i="2"/>
  <c r="D330" i="2"/>
  <c r="E330" i="2"/>
  <c r="G330" i="2"/>
  <c r="F330" i="2"/>
  <c r="H330" i="2"/>
  <c r="I330" i="2"/>
  <c r="B329" i="2"/>
  <c r="D329" i="2"/>
  <c r="E329" i="2"/>
  <c r="G329" i="2"/>
  <c r="F329" i="2"/>
  <c r="H329" i="2"/>
  <c r="I329" i="2"/>
  <c r="B328" i="2"/>
  <c r="D328" i="2"/>
  <c r="E328" i="2"/>
  <c r="G328" i="2"/>
  <c r="F328" i="2"/>
  <c r="H328" i="2"/>
  <c r="I328" i="2"/>
  <c r="B327" i="2"/>
  <c r="D327" i="2"/>
  <c r="E327" i="2"/>
  <c r="G327" i="2"/>
  <c r="F327" i="2"/>
  <c r="H327" i="2"/>
  <c r="I327" i="2"/>
  <c r="B326" i="2"/>
  <c r="D326" i="2"/>
  <c r="E326" i="2"/>
  <c r="G326" i="2"/>
  <c r="F326" i="2"/>
  <c r="H326" i="2"/>
  <c r="I326" i="2"/>
  <c r="B325" i="2"/>
  <c r="D325" i="2"/>
  <c r="E325" i="2"/>
  <c r="G325" i="2"/>
  <c r="F325" i="2"/>
  <c r="H325" i="2"/>
  <c r="I325" i="2"/>
  <c r="B324" i="2"/>
  <c r="D324" i="2"/>
  <c r="E324" i="2"/>
  <c r="G324" i="2"/>
  <c r="F324" i="2"/>
  <c r="H324" i="2"/>
  <c r="I324" i="2"/>
  <c r="B323" i="2"/>
  <c r="D323" i="2"/>
  <c r="E323" i="2"/>
  <c r="G323" i="2"/>
  <c r="F323" i="2"/>
  <c r="H323" i="2"/>
  <c r="I323" i="2"/>
  <c r="B322" i="2"/>
  <c r="D322" i="2"/>
  <c r="E322" i="2"/>
  <c r="G322" i="2"/>
  <c r="F322" i="2"/>
  <c r="H322" i="2"/>
  <c r="I322" i="2"/>
  <c r="B321" i="2"/>
  <c r="D321" i="2"/>
  <c r="E321" i="2"/>
  <c r="G321" i="2"/>
  <c r="F321" i="2"/>
  <c r="H321" i="2"/>
  <c r="I321" i="2"/>
  <c r="B320" i="2"/>
  <c r="D320" i="2"/>
  <c r="E320" i="2"/>
  <c r="G320" i="2"/>
  <c r="F320" i="2"/>
  <c r="H320" i="2"/>
  <c r="I320" i="2"/>
  <c r="B319" i="2"/>
  <c r="D319" i="2"/>
  <c r="E319" i="2"/>
  <c r="G319" i="2"/>
  <c r="F319" i="2"/>
  <c r="H319" i="2"/>
  <c r="I319" i="2"/>
  <c r="B318" i="2"/>
  <c r="D318" i="2"/>
  <c r="E318" i="2"/>
  <c r="G318" i="2"/>
  <c r="F318" i="2"/>
  <c r="H318" i="2"/>
  <c r="I318" i="2"/>
  <c r="B317" i="2"/>
  <c r="D317" i="2"/>
  <c r="E317" i="2"/>
  <c r="G317" i="2"/>
  <c r="F317" i="2"/>
  <c r="H317" i="2"/>
  <c r="I317" i="2"/>
  <c r="B316" i="2"/>
  <c r="D316" i="2"/>
  <c r="E316" i="2"/>
  <c r="G316" i="2"/>
  <c r="F316" i="2"/>
  <c r="H316" i="2"/>
  <c r="I316" i="2"/>
  <c r="B315" i="2"/>
  <c r="D315" i="2"/>
  <c r="E315" i="2"/>
  <c r="G315" i="2"/>
  <c r="F315" i="2"/>
  <c r="H315" i="2"/>
  <c r="I315" i="2"/>
  <c r="B314" i="2"/>
  <c r="D314" i="2"/>
  <c r="E314" i="2"/>
  <c r="G314" i="2"/>
  <c r="F314" i="2"/>
  <c r="H314" i="2"/>
  <c r="I314" i="2"/>
  <c r="B313" i="2"/>
  <c r="D313" i="2"/>
  <c r="E313" i="2"/>
  <c r="G313" i="2"/>
  <c r="F313" i="2"/>
  <c r="H313" i="2"/>
  <c r="I313" i="2"/>
  <c r="B312" i="2"/>
  <c r="D312" i="2"/>
  <c r="E312" i="2"/>
  <c r="G312" i="2"/>
  <c r="F312" i="2"/>
  <c r="H312" i="2"/>
  <c r="I312" i="2"/>
  <c r="B311" i="2"/>
  <c r="D311" i="2"/>
  <c r="E311" i="2"/>
  <c r="G311" i="2"/>
  <c r="F311" i="2"/>
  <c r="H311" i="2"/>
  <c r="I311" i="2"/>
  <c r="B310" i="2"/>
  <c r="D310" i="2"/>
  <c r="E310" i="2"/>
  <c r="G310" i="2"/>
  <c r="F310" i="2"/>
  <c r="H310" i="2"/>
  <c r="I310" i="2"/>
  <c r="B309" i="2"/>
  <c r="D309" i="2"/>
  <c r="E309" i="2"/>
  <c r="G309" i="2"/>
  <c r="F309" i="2"/>
  <c r="H309" i="2"/>
  <c r="I309" i="2"/>
  <c r="B308" i="2"/>
  <c r="D308" i="2"/>
  <c r="E308" i="2"/>
  <c r="G308" i="2"/>
  <c r="F308" i="2"/>
  <c r="H308" i="2"/>
  <c r="I308" i="2"/>
  <c r="B307" i="2"/>
  <c r="D307" i="2"/>
  <c r="E307" i="2"/>
  <c r="G307" i="2"/>
  <c r="F307" i="2"/>
  <c r="H307" i="2"/>
  <c r="I307" i="2"/>
  <c r="B306" i="2"/>
  <c r="D306" i="2"/>
  <c r="E306" i="2"/>
  <c r="G306" i="2"/>
  <c r="F306" i="2"/>
  <c r="H306" i="2"/>
  <c r="I306" i="2"/>
  <c r="B305" i="2"/>
  <c r="D305" i="2"/>
  <c r="E305" i="2"/>
  <c r="G305" i="2"/>
  <c r="F305" i="2"/>
  <c r="H305" i="2"/>
  <c r="I305" i="2"/>
  <c r="B304" i="2"/>
  <c r="D304" i="2"/>
  <c r="E304" i="2"/>
  <c r="G304" i="2"/>
  <c r="F304" i="2"/>
  <c r="H304" i="2"/>
  <c r="I304" i="2"/>
  <c r="B303" i="2"/>
  <c r="D303" i="2"/>
  <c r="E303" i="2"/>
  <c r="G303" i="2"/>
  <c r="F303" i="2"/>
  <c r="H303" i="2"/>
  <c r="I303" i="2"/>
  <c r="B302" i="2"/>
  <c r="D302" i="2"/>
  <c r="E302" i="2"/>
  <c r="G302" i="2"/>
  <c r="F302" i="2"/>
  <c r="H302" i="2"/>
  <c r="I302" i="2"/>
  <c r="B301" i="2"/>
  <c r="D301" i="2"/>
  <c r="E301" i="2"/>
  <c r="G301" i="2"/>
  <c r="F301" i="2"/>
  <c r="H301" i="2"/>
  <c r="I301" i="2"/>
  <c r="B300" i="2"/>
  <c r="D300" i="2"/>
  <c r="E300" i="2"/>
  <c r="G300" i="2"/>
  <c r="F300" i="2"/>
  <c r="H300" i="2"/>
  <c r="I300" i="2"/>
  <c r="B299" i="2"/>
  <c r="D299" i="2"/>
  <c r="E299" i="2"/>
  <c r="G299" i="2"/>
  <c r="F299" i="2"/>
  <c r="H299" i="2"/>
  <c r="I299" i="2"/>
  <c r="B298" i="2"/>
  <c r="D298" i="2"/>
  <c r="E298" i="2"/>
  <c r="G298" i="2"/>
  <c r="F298" i="2"/>
  <c r="H298" i="2"/>
  <c r="I298" i="2"/>
  <c r="B297" i="2"/>
  <c r="D297" i="2"/>
  <c r="E297" i="2"/>
  <c r="G297" i="2"/>
  <c r="F297" i="2"/>
  <c r="H297" i="2"/>
  <c r="I297" i="2"/>
  <c r="B296" i="2"/>
  <c r="D296" i="2"/>
  <c r="E296" i="2"/>
  <c r="G296" i="2"/>
  <c r="F296" i="2"/>
  <c r="H296" i="2"/>
  <c r="I296" i="2"/>
  <c r="B295" i="2"/>
  <c r="D295" i="2"/>
  <c r="E295" i="2"/>
  <c r="G295" i="2"/>
  <c r="F295" i="2"/>
  <c r="H295" i="2"/>
  <c r="I295" i="2"/>
  <c r="B294" i="2"/>
  <c r="D294" i="2"/>
  <c r="E294" i="2"/>
  <c r="G294" i="2"/>
  <c r="F294" i="2"/>
  <c r="H294" i="2"/>
  <c r="I294" i="2"/>
  <c r="B293" i="2"/>
  <c r="D293" i="2"/>
  <c r="E293" i="2"/>
  <c r="G293" i="2"/>
  <c r="F293" i="2"/>
  <c r="H293" i="2"/>
  <c r="I293" i="2"/>
  <c r="B292" i="2"/>
  <c r="D292" i="2"/>
  <c r="E292" i="2"/>
  <c r="G292" i="2"/>
  <c r="F292" i="2"/>
  <c r="H292" i="2"/>
  <c r="I292" i="2"/>
  <c r="B291" i="2"/>
  <c r="D291" i="2"/>
  <c r="E291" i="2"/>
  <c r="G291" i="2"/>
  <c r="F291" i="2"/>
  <c r="H291" i="2"/>
  <c r="I291" i="2"/>
  <c r="B290" i="2"/>
  <c r="D290" i="2"/>
  <c r="E290" i="2"/>
  <c r="G290" i="2"/>
  <c r="F290" i="2"/>
  <c r="H290" i="2"/>
  <c r="I290" i="2"/>
  <c r="B289" i="2"/>
  <c r="D289" i="2"/>
  <c r="E289" i="2"/>
  <c r="G289" i="2"/>
  <c r="F289" i="2"/>
  <c r="H289" i="2"/>
  <c r="I289" i="2"/>
  <c r="B288" i="2"/>
  <c r="D288" i="2"/>
  <c r="E288" i="2"/>
  <c r="G288" i="2"/>
  <c r="F288" i="2"/>
  <c r="H288" i="2"/>
  <c r="I288" i="2"/>
  <c r="B287" i="2"/>
  <c r="D287" i="2"/>
  <c r="E287" i="2"/>
  <c r="G287" i="2"/>
  <c r="F287" i="2"/>
  <c r="H287" i="2"/>
  <c r="I287" i="2"/>
  <c r="B286" i="2"/>
  <c r="D286" i="2"/>
  <c r="E286" i="2"/>
  <c r="G286" i="2"/>
  <c r="F286" i="2"/>
  <c r="H286" i="2"/>
  <c r="I286" i="2"/>
  <c r="B285" i="2"/>
  <c r="D285" i="2"/>
  <c r="E285" i="2"/>
  <c r="G285" i="2"/>
  <c r="F285" i="2"/>
  <c r="H285" i="2"/>
  <c r="I285" i="2"/>
  <c r="B284" i="2"/>
  <c r="D284" i="2"/>
  <c r="E284" i="2"/>
  <c r="G284" i="2"/>
  <c r="F284" i="2"/>
  <c r="H284" i="2"/>
  <c r="I284" i="2"/>
  <c r="B283" i="2"/>
  <c r="D283" i="2"/>
  <c r="E283" i="2"/>
  <c r="G283" i="2"/>
  <c r="F283" i="2"/>
  <c r="H283" i="2"/>
  <c r="I283" i="2"/>
  <c r="B282" i="2"/>
  <c r="D282" i="2"/>
  <c r="E282" i="2"/>
  <c r="G282" i="2"/>
  <c r="F282" i="2"/>
  <c r="H282" i="2"/>
  <c r="I282" i="2"/>
  <c r="B281" i="2"/>
  <c r="D281" i="2"/>
  <c r="E281" i="2"/>
  <c r="G281" i="2"/>
  <c r="F281" i="2"/>
  <c r="H281" i="2"/>
  <c r="I281" i="2"/>
  <c r="B280" i="2"/>
  <c r="D280" i="2"/>
  <c r="E280" i="2"/>
  <c r="G280" i="2"/>
  <c r="F280" i="2"/>
  <c r="H280" i="2"/>
  <c r="I280" i="2"/>
  <c r="B279" i="2"/>
  <c r="D279" i="2"/>
  <c r="E279" i="2"/>
  <c r="G279" i="2"/>
  <c r="F279" i="2"/>
  <c r="H279" i="2"/>
  <c r="I279" i="2"/>
  <c r="B278" i="2"/>
  <c r="D278" i="2"/>
  <c r="E278" i="2"/>
  <c r="G278" i="2"/>
  <c r="F278" i="2"/>
  <c r="H278" i="2"/>
  <c r="I278" i="2"/>
  <c r="B277" i="2"/>
  <c r="D277" i="2"/>
  <c r="E277" i="2"/>
  <c r="G277" i="2"/>
  <c r="F277" i="2"/>
  <c r="H277" i="2"/>
  <c r="I277" i="2"/>
  <c r="B276" i="2"/>
  <c r="D276" i="2"/>
  <c r="E276" i="2"/>
  <c r="G276" i="2"/>
  <c r="F276" i="2"/>
  <c r="H276" i="2"/>
  <c r="I276" i="2"/>
  <c r="B275" i="2"/>
  <c r="D275" i="2"/>
  <c r="E275" i="2"/>
  <c r="G275" i="2"/>
  <c r="F275" i="2"/>
  <c r="H275" i="2"/>
  <c r="I275" i="2"/>
  <c r="B274" i="2"/>
  <c r="D274" i="2"/>
  <c r="E274" i="2"/>
  <c r="G274" i="2"/>
  <c r="F274" i="2"/>
  <c r="H274" i="2"/>
  <c r="I274" i="2"/>
  <c r="B273" i="2"/>
  <c r="D273" i="2"/>
  <c r="E273" i="2"/>
  <c r="G273" i="2"/>
  <c r="F273" i="2"/>
  <c r="H273" i="2"/>
  <c r="I273" i="2"/>
  <c r="B272" i="2"/>
  <c r="D272" i="2"/>
  <c r="E272" i="2"/>
  <c r="G272" i="2"/>
  <c r="F272" i="2"/>
  <c r="H272" i="2"/>
  <c r="I272" i="2"/>
  <c r="B271" i="2"/>
  <c r="D271" i="2"/>
  <c r="E271" i="2"/>
  <c r="G271" i="2"/>
  <c r="F271" i="2"/>
  <c r="H271" i="2"/>
  <c r="I271" i="2"/>
  <c r="B270" i="2"/>
  <c r="D270" i="2"/>
  <c r="E270" i="2"/>
  <c r="G270" i="2"/>
  <c r="F270" i="2"/>
  <c r="H270" i="2"/>
  <c r="I270" i="2"/>
  <c r="B269" i="2"/>
  <c r="D269" i="2"/>
  <c r="E269" i="2"/>
  <c r="G269" i="2"/>
  <c r="F269" i="2"/>
  <c r="H269" i="2"/>
  <c r="I269" i="2"/>
  <c r="B268" i="2"/>
  <c r="D268" i="2"/>
  <c r="E268" i="2"/>
  <c r="G268" i="2"/>
  <c r="F268" i="2"/>
  <c r="H268" i="2"/>
  <c r="I268" i="2"/>
  <c r="B267" i="2"/>
  <c r="D267" i="2"/>
  <c r="E267" i="2"/>
  <c r="G267" i="2"/>
  <c r="F267" i="2"/>
  <c r="H267" i="2"/>
  <c r="I267" i="2"/>
  <c r="B266" i="2"/>
  <c r="D266" i="2"/>
  <c r="E266" i="2"/>
  <c r="G266" i="2"/>
  <c r="F266" i="2"/>
  <c r="H266" i="2"/>
  <c r="I266" i="2"/>
  <c r="B265" i="2"/>
  <c r="D265" i="2"/>
  <c r="E265" i="2"/>
  <c r="G265" i="2"/>
  <c r="F265" i="2"/>
  <c r="H265" i="2"/>
  <c r="I265" i="2"/>
  <c r="B264" i="2"/>
  <c r="D264" i="2"/>
  <c r="E264" i="2"/>
  <c r="G264" i="2"/>
  <c r="F264" i="2"/>
  <c r="H264" i="2"/>
  <c r="I264" i="2"/>
  <c r="B263" i="2"/>
  <c r="D263" i="2"/>
  <c r="E263" i="2"/>
  <c r="G263" i="2"/>
  <c r="F263" i="2"/>
  <c r="H263" i="2"/>
  <c r="I263" i="2"/>
  <c r="B262" i="2"/>
  <c r="D262" i="2"/>
  <c r="E262" i="2"/>
  <c r="G262" i="2"/>
  <c r="F262" i="2"/>
  <c r="H262" i="2"/>
  <c r="I262" i="2"/>
  <c r="B261" i="2"/>
  <c r="D261" i="2"/>
  <c r="E261" i="2"/>
  <c r="G261" i="2"/>
  <c r="F261" i="2"/>
  <c r="H261" i="2"/>
  <c r="I261" i="2"/>
  <c r="B260" i="2"/>
  <c r="D260" i="2"/>
  <c r="E260" i="2"/>
  <c r="G260" i="2"/>
  <c r="F260" i="2"/>
  <c r="H260" i="2"/>
  <c r="I260" i="2"/>
  <c r="B259" i="2"/>
  <c r="D259" i="2"/>
  <c r="E259" i="2"/>
  <c r="G259" i="2"/>
  <c r="F259" i="2"/>
  <c r="H259" i="2"/>
  <c r="I259" i="2"/>
  <c r="B258" i="2"/>
  <c r="D258" i="2"/>
  <c r="E258" i="2"/>
  <c r="G258" i="2"/>
  <c r="F258" i="2"/>
  <c r="H258" i="2"/>
  <c r="I258" i="2"/>
  <c r="B257" i="2"/>
  <c r="D257" i="2"/>
  <c r="E257" i="2"/>
  <c r="G257" i="2"/>
  <c r="F257" i="2"/>
  <c r="H257" i="2"/>
  <c r="I257" i="2"/>
  <c r="B256" i="2"/>
  <c r="D256" i="2"/>
  <c r="E256" i="2"/>
  <c r="G256" i="2"/>
  <c r="F256" i="2"/>
  <c r="H256" i="2"/>
  <c r="I256" i="2"/>
  <c r="B255" i="2"/>
  <c r="D255" i="2"/>
  <c r="E255" i="2"/>
  <c r="G255" i="2"/>
  <c r="F255" i="2"/>
  <c r="H255" i="2"/>
  <c r="I255" i="2"/>
  <c r="B254" i="2"/>
  <c r="D254" i="2"/>
  <c r="E254" i="2"/>
  <c r="G254" i="2"/>
  <c r="F254" i="2"/>
  <c r="H254" i="2"/>
  <c r="I254" i="2"/>
  <c r="B253" i="2"/>
  <c r="D253" i="2"/>
  <c r="E253" i="2"/>
  <c r="G253" i="2"/>
  <c r="F253" i="2"/>
  <c r="H253" i="2"/>
  <c r="I253" i="2"/>
  <c r="B252" i="2"/>
  <c r="D252" i="2"/>
  <c r="E252" i="2"/>
  <c r="G252" i="2"/>
  <c r="F252" i="2"/>
  <c r="H252" i="2"/>
  <c r="I252" i="2"/>
  <c r="B251" i="2"/>
  <c r="D251" i="2"/>
  <c r="E251" i="2"/>
  <c r="G251" i="2"/>
  <c r="F251" i="2"/>
  <c r="H251" i="2"/>
  <c r="I251" i="2"/>
  <c r="B250" i="2"/>
  <c r="D250" i="2"/>
  <c r="E250" i="2"/>
  <c r="G250" i="2"/>
  <c r="F250" i="2"/>
  <c r="H250" i="2"/>
  <c r="I250" i="2"/>
  <c r="B249" i="2"/>
  <c r="D249" i="2"/>
  <c r="E249" i="2"/>
  <c r="G249" i="2"/>
  <c r="F249" i="2"/>
  <c r="H249" i="2"/>
  <c r="I249" i="2"/>
  <c r="B248" i="2"/>
  <c r="D248" i="2"/>
  <c r="E248" i="2"/>
  <c r="G248" i="2"/>
  <c r="F248" i="2"/>
  <c r="H248" i="2"/>
  <c r="I248" i="2"/>
  <c r="B247" i="2"/>
  <c r="D247" i="2"/>
  <c r="E247" i="2"/>
  <c r="G247" i="2"/>
  <c r="F247" i="2"/>
  <c r="H247" i="2"/>
  <c r="I247" i="2"/>
  <c r="B246" i="2"/>
  <c r="D246" i="2"/>
  <c r="E246" i="2"/>
  <c r="G246" i="2"/>
  <c r="F246" i="2"/>
  <c r="H246" i="2"/>
  <c r="I246" i="2"/>
  <c r="B245" i="2"/>
  <c r="D245" i="2"/>
  <c r="E245" i="2"/>
  <c r="G245" i="2"/>
  <c r="F245" i="2"/>
  <c r="H245" i="2"/>
  <c r="I245" i="2"/>
  <c r="B244" i="2"/>
  <c r="D244" i="2"/>
  <c r="E244" i="2"/>
  <c r="G244" i="2"/>
  <c r="F244" i="2"/>
  <c r="H244" i="2"/>
  <c r="I244" i="2"/>
  <c r="B243" i="2"/>
  <c r="D243" i="2"/>
  <c r="E243" i="2"/>
  <c r="G243" i="2"/>
  <c r="F243" i="2"/>
  <c r="H243" i="2"/>
  <c r="I243" i="2"/>
  <c r="B242" i="2"/>
  <c r="D242" i="2"/>
  <c r="E242" i="2"/>
  <c r="G242" i="2"/>
  <c r="F242" i="2"/>
  <c r="H242" i="2"/>
  <c r="I242" i="2"/>
  <c r="B241" i="2"/>
  <c r="D241" i="2"/>
  <c r="E241" i="2"/>
  <c r="G241" i="2"/>
  <c r="F241" i="2"/>
  <c r="H241" i="2"/>
  <c r="I241" i="2"/>
  <c r="B240" i="2"/>
  <c r="D240" i="2"/>
  <c r="E240" i="2"/>
  <c r="G240" i="2"/>
  <c r="F240" i="2"/>
  <c r="H240" i="2"/>
  <c r="I240" i="2"/>
  <c r="B239" i="2"/>
  <c r="D239" i="2"/>
  <c r="E239" i="2"/>
  <c r="G239" i="2"/>
  <c r="F239" i="2"/>
  <c r="H239" i="2"/>
  <c r="I239" i="2"/>
  <c r="B238" i="2"/>
  <c r="D238" i="2"/>
  <c r="E238" i="2"/>
  <c r="G238" i="2"/>
  <c r="F238" i="2"/>
  <c r="H238" i="2"/>
  <c r="I238" i="2"/>
  <c r="B237" i="2"/>
  <c r="D237" i="2"/>
  <c r="E237" i="2"/>
  <c r="G237" i="2"/>
  <c r="F237" i="2"/>
  <c r="H237" i="2"/>
  <c r="I237" i="2"/>
  <c r="B236" i="2"/>
  <c r="D236" i="2"/>
  <c r="E236" i="2"/>
  <c r="G236" i="2"/>
  <c r="F236" i="2"/>
  <c r="H236" i="2"/>
  <c r="I236" i="2"/>
  <c r="B235" i="2"/>
  <c r="D235" i="2"/>
  <c r="E235" i="2"/>
  <c r="G235" i="2"/>
  <c r="F235" i="2"/>
  <c r="H235" i="2"/>
  <c r="I235" i="2"/>
  <c r="B234" i="2"/>
  <c r="D234" i="2"/>
  <c r="E234" i="2"/>
  <c r="G234" i="2"/>
  <c r="F234" i="2"/>
  <c r="H234" i="2"/>
  <c r="I234" i="2"/>
  <c r="B233" i="2"/>
  <c r="D233" i="2"/>
  <c r="E233" i="2"/>
  <c r="G233" i="2"/>
  <c r="F233" i="2"/>
  <c r="H233" i="2"/>
  <c r="I233" i="2"/>
  <c r="B232" i="2"/>
  <c r="D232" i="2"/>
  <c r="E232" i="2"/>
  <c r="G232" i="2"/>
  <c r="F232" i="2"/>
  <c r="H232" i="2"/>
  <c r="I232" i="2"/>
  <c r="B231" i="2"/>
  <c r="D231" i="2"/>
  <c r="E231" i="2"/>
  <c r="G231" i="2"/>
  <c r="F231" i="2"/>
  <c r="H231" i="2"/>
  <c r="I231" i="2"/>
  <c r="B230" i="2"/>
  <c r="D230" i="2"/>
  <c r="E230" i="2"/>
  <c r="G230" i="2"/>
  <c r="F230" i="2"/>
  <c r="H230" i="2"/>
  <c r="I230" i="2"/>
  <c r="B229" i="2"/>
  <c r="D229" i="2"/>
  <c r="E229" i="2"/>
  <c r="G229" i="2"/>
  <c r="F229" i="2"/>
  <c r="H229" i="2"/>
  <c r="I229" i="2"/>
  <c r="B228" i="2"/>
  <c r="D228" i="2"/>
  <c r="E228" i="2"/>
  <c r="G228" i="2"/>
  <c r="F228" i="2"/>
  <c r="H228" i="2"/>
  <c r="I228" i="2"/>
  <c r="B227" i="2"/>
  <c r="D227" i="2"/>
  <c r="E227" i="2"/>
  <c r="G227" i="2"/>
  <c r="F227" i="2"/>
  <c r="H227" i="2"/>
  <c r="I227" i="2"/>
  <c r="B226" i="2"/>
  <c r="D226" i="2"/>
  <c r="E226" i="2"/>
  <c r="G226" i="2"/>
  <c r="F226" i="2"/>
  <c r="H226" i="2"/>
  <c r="I226" i="2"/>
  <c r="B225" i="2"/>
  <c r="D225" i="2"/>
  <c r="E225" i="2"/>
  <c r="G225" i="2"/>
  <c r="F225" i="2"/>
  <c r="H225" i="2"/>
  <c r="I225" i="2"/>
  <c r="B224" i="2"/>
  <c r="D224" i="2"/>
  <c r="E224" i="2"/>
  <c r="G224" i="2"/>
  <c r="F224" i="2"/>
  <c r="H224" i="2"/>
  <c r="I224" i="2"/>
  <c r="B223" i="2"/>
  <c r="D223" i="2"/>
  <c r="E223" i="2"/>
  <c r="G223" i="2"/>
  <c r="F223" i="2"/>
  <c r="H223" i="2"/>
  <c r="I223" i="2"/>
  <c r="B222" i="2"/>
  <c r="D222" i="2"/>
  <c r="E222" i="2"/>
  <c r="G222" i="2"/>
  <c r="F222" i="2"/>
  <c r="H222" i="2"/>
  <c r="I222" i="2"/>
  <c r="B221" i="2"/>
  <c r="D221" i="2"/>
  <c r="E221" i="2"/>
  <c r="G221" i="2"/>
  <c r="F221" i="2"/>
  <c r="H221" i="2"/>
  <c r="I221" i="2"/>
  <c r="B220" i="2"/>
  <c r="D220" i="2"/>
  <c r="E220" i="2"/>
  <c r="G220" i="2"/>
  <c r="F220" i="2"/>
  <c r="H220" i="2"/>
  <c r="I220" i="2"/>
  <c r="B219" i="2"/>
  <c r="D219" i="2"/>
  <c r="E219" i="2"/>
  <c r="G219" i="2"/>
  <c r="F219" i="2"/>
  <c r="H219" i="2"/>
  <c r="I219" i="2"/>
  <c r="B218" i="2"/>
  <c r="D218" i="2"/>
  <c r="E218" i="2"/>
  <c r="G218" i="2"/>
  <c r="F218" i="2"/>
  <c r="H218" i="2"/>
  <c r="I218" i="2"/>
  <c r="B217" i="2"/>
  <c r="D217" i="2"/>
  <c r="E217" i="2"/>
  <c r="G217" i="2"/>
  <c r="F217" i="2"/>
  <c r="H217" i="2"/>
  <c r="I217" i="2"/>
  <c r="B216" i="2"/>
  <c r="D216" i="2"/>
  <c r="E216" i="2"/>
  <c r="G216" i="2"/>
  <c r="F216" i="2"/>
  <c r="H216" i="2"/>
  <c r="I216" i="2"/>
  <c r="B215" i="2"/>
  <c r="D215" i="2"/>
  <c r="E215" i="2"/>
  <c r="G215" i="2"/>
  <c r="F215" i="2"/>
  <c r="H215" i="2"/>
  <c r="I215" i="2"/>
  <c r="B214" i="2"/>
  <c r="D214" i="2"/>
  <c r="E214" i="2"/>
  <c r="G214" i="2"/>
  <c r="F214" i="2"/>
  <c r="H214" i="2"/>
  <c r="I214" i="2"/>
  <c r="B213" i="2"/>
  <c r="D213" i="2"/>
  <c r="E213" i="2"/>
  <c r="G213" i="2"/>
  <c r="F213" i="2"/>
  <c r="H213" i="2"/>
  <c r="I213" i="2"/>
  <c r="B212" i="2"/>
  <c r="D212" i="2"/>
  <c r="E212" i="2"/>
  <c r="G212" i="2"/>
  <c r="F212" i="2"/>
  <c r="H212" i="2"/>
  <c r="I212" i="2"/>
  <c r="B211" i="2"/>
  <c r="D211" i="2"/>
  <c r="E211" i="2"/>
  <c r="G211" i="2"/>
  <c r="F211" i="2"/>
  <c r="H211" i="2"/>
  <c r="I211" i="2"/>
  <c r="B210" i="2"/>
  <c r="D210" i="2"/>
  <c r="E210" i="2"/>
  <c r="G210" i="2"/>
  <c r="F210" i="2"/>
  <c r="H210" i="2"/>
  <c r="I210" i="2"/>
  <c r="B209" i="2"/>
  <c r="D209" i="2"/>
  <c r="E209" i="2"/>
  <c r="G209" i="2"/>
  <c r="F209" i="2"/>
  <c r="H209" i="2"/>
  <c r="I209" i="2"/>
  <c r="B208" i="2"/>
  <c r="D208" i="2"/>
  <c r="E208" i="2"/>
  <c r="G208" i="2"/>
  <c r="F208" i="2"/>
  <c r="H208" i="2"/>
  <c r="I208" i="2"/>
  <c r="B207" i="2"/>
  <c r="D207" i="2"/>
  <c r="E207" i="2"/>
  <c r="G207" i="2"/>
  <c r="F207" i="2"/>
  <c r="H207" i="2"/>
  <c r="I207" i="2"/>
  <c r="B206" i="2"/>
  <c r="D206" i="2"/>
  <c r="E206" i="2"/>
  <c r="G206" i="2"/>
  <c r="F206" i="2"/>
  <c r="H206" i="2"/>
  <c r="I206" i="2"/>
  <c r="B205" i="2"/>
  <c r="D205" i="2"/>
  <c r="E205" i="2"/>
  <c r="G205" i="2"/>
  <c r="F205" i="2"/>
  <c r="H205" i="2"/>
  <c r="I205" i="2"/>
  <c r="B204" i="2"/>
  <c r="D204" i="2"/>
  <c r="E204" i="2"/>
  <c r="G204" i="2"/>
  <c r="F204" i="2"/>
  <c r="H204" i="2"/>
  <c r="I204" i="2"/>
  <c r="B203" i="2"/>
  <c r="D203" i="2"/>
  <c r="E203" i="2"/>
  <c r="G203" i="2"/>
  <c r="F203" i="2"/>
  <c r="H203" i="2"/>
  <c r="I203" i="2"/>
  <c r="B202" i="2"/>
  <c r="D202" i="2"/>
  <c r="E202" i="2"/>
  <c r="G202" i="2"/>
  <c r="F202" i="2"/>
  <c r="H202" i="2"/>
  <c r="I202" i="2"/>
  <c r="B201" i="2"/>
  <c r="D201" i="2"/>
  <c r="E201" i="2"/>
  <c r="G201" i="2"/>
  <c r="F201" i="2"/>
  <c r="H201" i="2"/>
  <c r="I201" i="2"/>
  <c r="B200" i="2"/>
  <c r="D200" i="2"/>
  <c r="E200" i="2"/>
  <c r="G200" i="2"/>
  <c r="F200" i="2"/>
  <c r="H200" i="2"/>
  <c r="I200" i="2"/>
  <c r="B199" i="2"/>
  <c r="D199" i="2"/>
  <c r="E199" i="2"/>
  <c r="G199" i="2"/>
  <c r="F199" i="2"/>
  <c r="H199" i="2"/>
  <c r="I199" i="2"/>
  <c r="B198" i="2"/>
  <c r="D198" i="2"/>
  <c r="E198" i="2"/>
  <c r="G198" i="2"/>
  <c r="F198" i="2"/>
  <c r="H198" i="2"/>
  <c r="I198" i="2"/>
  <c r="B197" i="2"/>
  <c r="D197" i="2"/>
  <c r="E197" i="2"/>
  <c r="G197" i="2"/>
  <c r="F197" i="2"/>
  <c r="H197" i="2"/>
  <c r="I197" i="2"/>
  <c r="B196" i="2"/>
  <c r="D196" i="2"/>
  <c r="E196" i="2"/>
  <c r="G196" i="2"/>
  <c r="F196" i="2"/>
  <c r="H196" i="2"/>
  <c r="I196" i="2"/>
  <c r="B195" i="2"/>
  <c r="D195" i="2"/>
  <c r="E195" i="2"/>
  <c r="G195" i="2"/>
  <c r="F195" i="2"/>
  <c r="H195" i="2"/>
  <c r="I195" i="2"/>
  <c r="B194" i="2"/>
  <c r="D194" i="2"/>
  <c r="E194" i="2"/>
  <c r="G194" i="2"/>
  <c r="F194" i="2"/>
  <c r="H194" i="2"/>
  <c r="I194" i="2"/>
  <c r="B193" i="2"/>
  <c r="D193" i="2"/>
  <c r="E193" i="2"/>
  <c r="G193" i="2"/>
  <c r="F193" i="2"/>
  <c r="H193" i="2"/>
  <c r="I193" i="2"/>
  <c r="B192" i="2"/>
  <c r="D192" i="2"/>
  <c r="E192" i="2"/>
  <c r="G192" i="2"/>
  <c r="F192" i="2"/>
  <c r="H192" i="2"/>
  <c r="I192" i="2"/>
  <c r="B191" i="2"/>
  <c r="D191" i="2"/>
  <c r="E191" i="2"/>
  <c r="G191" i="2"/>
  <c r="F191" i="2"/>
  <c r="H191" i="2"/>
  <c r="I191" i="2"/>
  <c r="B190" i="2"/>
  <c r="D190" i="2"/>
  <c r="E190" i="2"/>
  <c r="G190" i="2"/>
  <c r="F190" i="2"/>
  <c r="H190" i="2"/>
  <c r="I190" i="2"/>
  <c r="B189" i="2"/>
  <c r="D189" i="2"/>
  <c r="E189" i="2"/>
  <c r="G189" i="2"/>
  <c r="F189" i="2"/>
  <c r="H189" i="2"/>
  <c r="I189" i="2"/>
  <c r="B188" i="2"/>
  <c r="D188" i="2"/>
  <c r="E188" i="2"/>
  <c r="G188" i="2"/>
  <c r="F188" i="2"/>
  <c r="H188" i="2"/>
  <c r="I188" i="2"/>
  <c r="B187" i="2"/>
  <c r="D187" i="2"/>
  <c r="E187" i="2"/>
  <c r="G187" i="2"/>
  <c r="F187" i="2"/>
  <c r="H187" i="2"/>
  <c r="I187" i="2"/>
  <c r="B186" i="2"/>
  <c r="D186" i="2"/>
  <c r="E186" i="2"/>
  <c r="G186" i="2"/>
  <c r="F186" i="2"/>
  <c r="H186" i="2"/>
  <c r="I186" i="2"/>
  <c r="B185" i="2"/>
  <c r="D185" i="2"/>
  <c r="E185" i="2"/>
  <c r="G185" i="2"/>
  <c r="F185" i="2"/>
  <c r="H185" i="2"/>
  <c r="I185" i="2"/>
  <c r="B184" i="2"/>
  <c r="D184" i="2"/>
  <c r="E184" i="2"/>
  <c r="G184" i="2"/>
  <c r="F184" i="2"/>
  <c r="H184" i="2"/>
  <c r="I184" i="2"/>
  <c r="B183" i="2"/>
  <c r="D183" i="2"/>
  <c r="E183" i="2"/>
  <c r="G183" i="2"/>
  <c r="F183" i="2"/>
  <c r="H183" i="2"/>
  <c r="I183" i="2"/>
  <c r="B182" i="2"/>
  <c r="D182" i="2"/>
  <c r="E182" i="2"/>
  <c r="G182" i="2"/>
  <c r="F182" i="2"/>
  <c r="H182" i="2"/>
  <c r="I182" i="2"/>
  <c r="B181" i="2"/>
  <c r="D181" i="2"/>
  <c r="E181" i="2"/>
  <c r="G181" i="2"/>
  <c r="F181" i="2"/>
  <c r="H181" i="2"/>
  <c r="I181" i="2"/>
  <c r="B180" i="2"/>
  <c r="D180" i="2"/>
  <c r="E180" i="2"/>
  <c r="G180" i="2"/>
  <c r="F180" i="2"/>
  <c r="H180" i="2"/>
  <c r="I180" i="2"/>
  <c r="B179" i="2"/>
  <c r="D179" i="2"/>
  <c r="E179" i="2"/>
  <c r="G179" i="2"/>
  <c r="F179" i="2"/>
  <c r="H179" i="2"/>
  <c r="I179" i="2"/>
  <c r="B178" i="2"/>
  <c r="D178" i="2"/>
  <c r="E178" i="2"/>
  <c r="G178" i="2"/>
  <c r="F178" i="2"/>
  <c r="H178" i="2"/>
  <c r="I178" i="2"/>
  <c r="B177" i="2"/>
  <c r="D177" i="2"/>
  <c r="E177" i="2"/>
  <c r="G177" i="2"/>
  <c r="F177" i="2"/>
  <c r="H177" i="2"/>
  <c r="I177" i="2"/>
  <c r="B176" i="2"/>
  <c r="D176" i="2"/>
  <c r="E176" i="2"/>
  <c r="G176" i="2"/>
  <c r="F176" i="2"/>
  <c r="H176" i="2"/>
  <c r="I176" i="2"/>
  <c r="B175" i="2"/>
  <c r="D175" i="2"/>
  <c r="E175" i="2"/>
  <c r="G175" i="2"/>
  <c r="F175" i="2"/>
  <c r="H175" i="2"/>
  <c r="I175" i="2"/>
  <c r="B174" i="2"/>
  <c r="D174" i="2"/>
  <c r="E174" i="2"/>
  <c r="G174" i="2"/>
  <c r="F174" i="2"/>
  <c r="H174" i="2"/>
  <c r="I174" i="2"/>
  <c r="B173" i="2"/>
  <c r="D173" i="2"/>
  <c r="E173" i="2"/>
  <c r="G173" i="2"/>
  <c r="F173" i="2"/>
  <c r="H173" i="2"/>
  <c r="I173" i="2"/>
  <c r="B172" i="2"/>
  <c r="D172" i="2"/>
  <c r="E172" i="2"/>
  <c r="G172" i="2"/>
  <c r="F172" i="2"/>
  <c r="H172" i="2"/>
  <c r="I172" i="2"/>
  <c r="B171" i="2"/>
  <c r="D171" i="2"/>
  <c r="E171" i="2"/>
  <c r="G171" i="2"/>
  <c r="F171" i="2"/>
  <c r="H171" i="2"/>
  <c r="I171" i="2"/>
  <c r="B170" i="2"/>
  <c r="D170" i="2"/>
  <c r="E170" i="2"/>
  <c r="G170" i="2"/>
  <c r="F170" i="2"/>
  <c r="H170" i="2"/>
  <c r="I170" i="2"/>
  <c r="B169" i="2"/>
  <c r="D169" i="2"/>
  <c r="E169" i="2"/>
  <c r="G169" i="2"/>
  <c r="F169" i="2"/>
  <c r="H169" i="2"/>
  <c r="I169" i="2"/>
  <c r="B168" i="2"/>
  <c r="D168" i="2"/>
  <c r="E168" i="2"/>
  <c r="G168" i="2"/>
  <c r="F168" i="2"/>
  <c r="H168" i="2"/>
  <c r="I168" i="2"/>
  <c r="B167" i="2"/>
  <c r="D167" i="2"/>
  <c r="E167" i="2"/>
  <c r="G167" i="2"/>
  <c r="F167" i="2"/>
  <c r="H167" i="2"/>
  <c r="I167" i="2"/>
  <c r="B166" i="2"/>
  <c r="D166" i="2"/>
  <c r="E166" i="2"/>
  <c r="G166" i="2"/>
  <c r="F166" i="2"/>
  <c r="H166" i="2"/>
  <c r="I166" i="2"/>
  <c r="B165" i="2"/>
  <c r="D165" i="2"/>
  <c r="E165" i="2"/>
  <c r="G165" i="2"/>
  <c r="F165" i="2"/>
  <c r="H165" i="2"/>
  <c r="I165" i="2"/>
  <c r="B164" i="2"/>
  <c r="D164" i="2"/>
  <c r="E164" i="2"/>
  <c r="G164" i="2"/>
  <c r="F164" i="2"/>
  <c r="H164" i="2"/>
  <c r="I164" i="2"/>
  <c r="B163" i="2"/>
  <c r="D163" i="2"/>
  <c r="E163" i="2"/>
  <c r="G163" i="2"/>
  <c r="F163" i="2"/>
  <c r="H163" i="2"/>
  <c r="I163" i="2"/>
  <c r="B162" i="2"/>
  <c r="D162" i="2"/>
  <c r="E162" i="2"/>
  <c r="G162" i="2"/>
  <c r="F162" i="2"/>
  <c r="H162" i="2"/>
  <c r="I162" i="2"/>
  <c r="B161" i="2"/>
  <c r="D161" i="2"/>
  <c r="E161" i="2"/>
  <c r="G161" i="2"/>
  <c r="F161" i="2"/>
  <c r="H161" i="2"/>
  <c r="I161" i="2"/>
  <c r="B160" i="2"/>
  <c r="D160" i="2"/>
  <c r="E160" i="2"/>
  <c r="G160" i="2"/>
  <c r="F160" i="2"/>
  <c r="H160" i="2"/>
  <c r="I160" i="2"/>
  <c r="B159" i="2"/>
  <c r="D159" i="2"/>
  <c r="E159" i="2"/>
  <c r="G159" i="2"/>
  <c r="F159" i="2"/>
  <c r="H159" i="2"/>
  <c r="I159" i="2"/>
  <c r="B158" i="2"/>
  <c r="D158" i="2"/>
  <c r="E158" i="2"/>
  <c r="G158" i="2"/>
  <c r="F158" i="2"/>
  <c r="H158" i="2"/>
  <c r="I158" i="2"/>
  <c r="B157" i="2"/>
  <c r="D157" i="2"/>
  <c r="E157" i="2"/>
  <c r="G157" i="2"/>
  <c r="F157" i="2"/>
  <c r="H157" i="2"/>
  <c r="I157" i="2"/>
  <c r="B156" i="2"/>
  <c r="D156" i="2"/>
  <c r="E156" i="2"/>
  <c r="G156" i="2"/>
  <c r="F156" i="2"/>
  <c r="H156" i="2"/>
  <c r="I156" i="2"/>
  <c r="B155" i="2"/>
  <c r="D155" i="2"/>
  <c r="E155" i="2"/>
  <c r="G155" i="2"/>
  <c r="F155" i="2"/>
  <c r="H155" i="2"/>
  <c r="I155" i="2"/>
  <c r="B154" i="2"/>
  <c r="D154" i="2"/>
  <c r="E154" i="2"/>
  <c r="G154" i="2"/>
  <c r="F154" i="2"/>
  <c r="H154" i="2"/>
  <c r="I154" i="2"/>
  <c r="B153" i="2"/>
  <c r="D153" i="2"/>
  <c r="E153" i="2"/>
  <c r="G153" i="2"/>
  <c r="F153" i="2"/>
  <c r="H153" i="2"/>
  <c r="I153" i="2"/>
  <c r="B152" i="2"/>
  <c r="D152" i="2"/>
  <c r="E152" i="2"/>
  <c r="G152" i="2"/>
  <c r="F152" i="2"/>
  <c r="H152" i="2"/>
  <c r="I152" i="2"/>
  <c r="B151" i="2"/>
  <c r="D151" i="2"/>
  <c r="E151" i="2"/>
  <c r="G151" i="2"/>
  <c r="F151" i="2"/>
  <c r="H151" i="2"/>
  <c r="I151" i="2"/>
  <c r="B150" i="2"/>
  <c r="D150" i="2"/>
  <c r="E150" i="2"/>
  <c r="G150" i="2"/>
  <c r="F150" i="2"/>
  <c r="H150" i="2"/>
  <c r="I150" i="2"/>
  <c r="B149" i="2"/>
  <c r="D149" i="2"/>
  <c r="E149" i="2"/>
  <c r="G149" i="2"/>
  <c r="F149" i="2"/>
  <c r="H149" i="2"/>
  <c r="I149" i="2"/>
  <c r="B148" i="2"/>
  <c r="D148" i="2"/>
  <c r="E148" i="2"/>
  <c r="G148" i="2"/>
  <c r="F148" i="2"/>
  <c r="H148" i="2"/>
  <c r="I148" i="2"/>
  <c r="B147" i="2"/>
  <c r="D147" i="2"/>
  <c r="E147" i="2"/>
  <c r="G147" i="2"/>
  <c r="F147" i="2"/>
  <c r="H147" i="2"/>
  <c r="I147" i="2"/>
  <c r="B146" i="2"/>
  <c r="D146" i="2"/>
  <c r="E146" i="2"/>
  <c r="G146" i="2"/>
  <c r="F146" i="2"/>
  <c r="H146" i="2"/>
  <c r="I146" i="2"/>
  <c r="B145" i="2"/>
  <c r="D145" i="2"/>
  <c r="E145" i="2"/>
  <c r="G145" i="2"/>
  <c r="F145" i="2"/>
  <c r="H145" i="2"/>
  <c r="I145" i="2"/>
  <c r="B144" i="2"/>
  <c r="D144" i="2"/>
  <c r="E144" i="2"/>
  <c r="G144" i="2"/>
  <c r="F144" i="2"/>
  <c r="H144" i="2"/>
  <c r="I144" i="2"/>
  <c r="B143" i="2"/>
  <c r="D143" i="2"/>
  <c r="E143" i="2"/>
  <c r="G143" i="2"/>
  <c r="F143" i="2"/>
  <c r="H143" i="2"/>
  <c r="I143" i="2"/>
  <c r="B142" i="2"/>
  <c r="D142" i="2"/>
  <c r="E142" i="2"/>
  <c r="G142" i="2"/>
  <c r="F142" i="2"/>
  <c r="H142" i="2"/>
  <c r="I142" i="2"/>
  <c r="B141" i="2"/>
  <c r="D141" i="2"/>
  <c r="E141" i="2"/>
  <c r="G141" i="2"/>
  <c r="F141" i="2"/>
  <c r="H141" i="2"/>
  <c r="I141" i="2"/>
  <c r="B140" i="2"/>
  <c r="D140" i="2"/>
  <c r="E140" i="2"/>
  <c r="G140" i="2"/>
  <c r="F140" i="2"/>
  <c r="H140" i="2"/>
  <c r="I140" i="2"/>
  <c r="B139" i="2"/>
  <c r="D139" i="2"/>
  <c r="E139" i="2"/>
  <c r="G139" i="2"/>
  <c r="F139" i="2"/>
  <c r="H139" i="2"/>
  <c r="I139" i="2"/>
  <c r="B138" i="2"/>
  <c r="D138" i="2"/>
  <c r="E138" i="2"/>
  <c r="G138" i="2"/>
  <c r="F138" i="2"/>
  <c r="H138" i="2"/>
  <c r="I138" i="2"/>
  <c r="B137" i="2"/>
  <c r="D137" i="2"/>
  <c r="E137" i="2"/>
  <c r="G137" i="2"/>
  <c r="F137" i="2"/>
  <c r="H137" i="2"/>
  <c r="I137" i="2"/>
  <c r="B136" i="2"/>
  <c r="D136" i="2"/>
  <c r="E136" i="2"/>
  <c r="G136" i="2"/>
  <c r="F136" i="2"/>
  <c r="H136" i="2"/>
  <c r="I136" i="2"/>
  <c r="B135" i="2"/>
  <c r="D135" i="2"/>
  <c r="E135" i="2"/>
  <c r="G135" i="2"/>
  <c r="F135" i="2"/>
  <c r="H135" i="2"/>
  <c r="I135" i="2"/>
  <c r="B134" i="2"/>
  <c r="D134" i="2"/>
  <c r="E134" i="2"/>
  <c r="G134" i="2"/>
  <c r="F134" i="2"/>
  <c r="H134" i="2"/>
  <c r="I134" i="2"/>
  <c r="B133" i="2"/>
  <c r="D133" i="2"/>
  <c r="E133" i="2"/>
  <c r="G133" i="2"/>
  <c r="F133" i="2"/>
  <c r="H133" i="2"/>
  <c r="I133" i="2"/>
  <c r="B132" i="2"/>
  <c r="D132" i="2"/>
  <c r="E132" i="2"/>
  <c r="G132" i="2"/>
  <c r="F132" i="2"/>
  <c r="H132" i="2"/>
  <c r="I132" i="2"/>
  <c r="B131" i="2"/>
  <c r="D131" i="2"/>
  <c r="E131" i="2"/>
  <c r="G131" i="2"/>
  <c r="F131" i="2"/>
  <c r="H131" i="2"/>
  <c r="I131" i="2"/>
  <c r="B130" i="2"/>
  <c r="D130" i="2"/>
  <c r="E130" i="2"/>
  <c r="G130" i="2"/>
  <c r="F130" i="2"/>
  <c r="H130" i="2"/>
  <c r="I130" i="2"/>
  <c r="B129" i="2"/>
  <c r="D129" i="2"/>
  <c r="E129" i="2"/>
  <c r="G129" i="2"/>
  <c r="F129" i="2"/>
  <c r="H129" i="2"/>
  <c r="I129" i="2"/>
  <c r="B128" i="2"/>
  <c r="D128" i="2"/>
  <c r="E128" i="2"/>
  <c r="G128" i="2"/>
  <c r="F128" i="2"/>
  <c r="H128" i="2"/>
  <c r="I128" i="2"/>
  <c r="B127" i="2"/>
  <c r="D127" i="2"/>
  <c r="E127" i="2"/>
  <c r="G127" i="2"/>
  <c r="F127" i="2"/>
  <c r="H127" i="2"/>
  <c r="I127" i="2"/>
  <c r="B126" i="2"/>
  <c r="D126" i="2"/>
  <c r="E126" i="2"/>
  <c r="G126" i="2"/>
  <c r="F126" i="2"/>
  <c r="H126" i="2"/>
  <c r="I126" i="2"/>
  <c r="B125" i="2"/>
  <c r="D125" i="2"/>
  <c r="E125" i="2"/>
  <c r="G125" i="2"/>
  <c r="F125" i="2"/>
  <c r="H125" i="2"/>
  <c r="I125" i="2"/>
  <c r="B124" i="2"/>
  <c r="D124" i="2"/>
  <c r="E124" i="2"/>
  <c r="G124" i="2"/>
  <c r="F124" i="2"/>
  <c r="H124" i="2"/>
  <c r="I124" i="2"/>
  <c r="B123" i="2"/>
  <c r="D123" i="2"/>
  <c r="E123" i="2"/>
  <c r="G123" i="2"/>
  <c r="F123" i="2"/>
  <c r="H123" i="2"/>
  <c r="I123" i="2"/>
  <c r="B122" i="2"/>
  <c r="D122" i="2"/>
  <c r="E122" i="2"/>
  <c r="G122" i="2"/>
  <c r="F122" i="2"/>
  <c r="H122" i="2"/>
  <c r="I122" i="2"/>
  <c r="B121" i="2"/>
  <c r="D121" i="2"/>
  <c r="E121" i="2"/>
  <c r="G121" i="2"/>
  <c r="F121" i="2"/>
  <c r="H121" i="2"/>
  <c r="I121" i="2"/>
  <c r="B120" i="2"/>
  <c r="D120" i="2"/>
  <c r="E120" i="2"/>
  <c r="G120" i="2"/>
  <c r="F120" i="2"/>
  <c r="H120" i="2"/>
  <c r="I120" i="2"/>
  <c r="B119" i="2"/>
  <c r="D119" i="2"/>
  <c r="E119" i="2"/>
  <c r="G119" i="2"/>
  <c r="F119" i="2"/>
  <c r="H119" i="2"/>
  <c r="I119" i="2"/>
  <c r="B118" i="2"/>
  <c r="D118" i="2"/>
  <c r="E118" i="2"/>
  <c r="G118" i="2"/>
  <c r="F118" i="2"/>
  <c r="H118" i="2"/>
  <c r="I118" i="2"/>
  <c r="B117" i="2"/>
  <c r="D117" i="2"/>
  <c r="E117" i="2"/>
  <c r="G117" i="2"/>
  <c r="F117" i="2"/>
  <c r="H117" i="2"/>
  <c r="I117" i="2"/>
  <c r="B116" i="2"/>
  <c r="D116" i="2"/>
  <c r="E116" i="2"/>
  <c r="G116" i="2"/>
  <c r="F116" i="2"/>
  <c r="H116" i="2"/>
  <c r="I116" i="2"/>
  <c r="B115" i="2"/>
  <c r="D115" i="2"/>
  <c r="E115" i="2"/>
  <c r="G115" i="2"/>
  <c r="F115" i="2"/>
  <c r="H115" i="2"/>
  <c r="I115" i="2"/>
  <c r="B114" i="2"/>
  <c r="D114" i="2"/>
  <c r="E114" i="2"/>
  <c r="G114" i="2"/>
  <c r="F114" i="2"/>
  <c r="H114" i="2"/>
  <c r="I114" i="2"/>
  <c r="B113" i="2"/>
  <c r="D113" i="2"/>
  <c r="E113" i="2"/>
  <c r="G113" i="2"/>
  <c r="F113" i="2"/>
  <c r="H113" i="2"/>
  <c r="I113" i="2"/>
  <c r="B112" i="2"/>
  <c r="D112" i="2"/>
  <c r="E112" i="2"/>
  <c r="G112" i="2"/>
  <c r="F112" i="2"/>
  <c r="H112" i="2"/>
  <c r="I112" i="2"/>
  <c r="B111" i="2"/>
  <c r="D111" i="2"/>
  <c r="E111" i="2"/>
  <c r="G111" i="2"/>
  <c r="F111" i="2"/>
  <c r="H111" i="2"/>
  <c r="I111" i="2"/>
  <c r="B110" i="2"/>
  <c r="D110" i="2"/>
  <c r="E110" i="2"/>
  <c r="G110" i="2"/>
  <c r="F110" i="2"/>
  <c r="H110" i="2"/>
  <c r="I110" i="2"/>
  <c r="B109" i="2"/>
  <c r="D109" i="2"/>
  <c r="E109" i="2"/>
  <c r="G109" i="2"/>
  <c r="F109" i="2"/>
  <c r="H109" i="2"/>
  <c r="I109" i="2"/>
  <c r="B108" i="2"/>
  <c r="D108" i="2"/>
  <c r="E108" i="2"/>
  <c r="G108" i="2"/>
  <c r="F108" i="2"/>
  <c r="H108" i="2"/>
  <c r="I108" i="2"/>
  <c r="B107" i="2"/>
  <c r="D107" i="2"/>
  <c r="E107" i="2"/>
  <c r="G107" i="2"/>
  <c r="F107" i="2"/>
  <c r="H107" i="2"/>
  <c r="I107" i="2"/>
  <c r="B106" i="2"/>
  <c r="D106" i="2"/>
  <c r="E106" i="2"/>
  <c r="G106" i="2"/>
  <c r="F106" i="2"/>
  <c r="H106" i="2"/>
  <c r="I106" i="2"/>
  <c r="B105" i="2"/>
  <c r="D105" i="2"/>
  <c r="E105" i="2"/>
  <c r="G105" i="2"/>
  <c r="F105" i="2"/>
  <c r="H105" i="2"/>
  <c r="I105" i="2"/>
  <c r="B104" i="2"/>
  <c r="D104" i="2"/>
  <c r="E104" i="2"/>
  <c r="G104" i="2"/>
  <c r="F104" i="2"/>
  <c r="H104" i="2"/>
  <c r="I104" i="2"/>
  <c r="B103" i="2"/>
  <c r="D103" i="2"/>
  <c r="E103" i="2"/>
  <c r="G103" i="2"/>
  <c r="F103" i="2"/>
  <c r="H103" i="2"/>
  <c r="I103" i="2"/>
  <c r="B102" i="2"/>
  <c r="D102" i="2"/>
  <c r="E102" i="2"/>
  <c r="G102" i="2"/>
  <c r="F102" i="2"/>
  <c r="H102" i="2"/>
  <c r="I102" i="2"/>
  <c r="B101" i="2"/>
  <c r="D101" i="2"/>
  <c r="E101" i="2"/>
  <c r="G101" i="2"/>
  <c r="F101" i="2"/>
  <c r="H101" i="2"/>
  <c r="I101" i="2"/>
  <c r="B100" i="2"/>
  <c r="D100" i="2"/>
  <c r="E100" i="2"/>
  <c r="G100" i="2"/>
  <c r="F100" i="2"/>
  <c r="H100" i="2"/>
  <c r="I100" i="2"/>
  <c r="B99" i="2"/>
  <c r="D99" i="2"/>
  <c r="E99" i="2"/>
  <c r="G99" i="2"/>
  <c r="F99" i="2"/>
  <c r="H99" i="2"/>
  <c r="I99" i="2"/>
  <c r="B98" i="2"/>
  <c r="D98" i="2"/>
  <c r="E98" i="2"/>
  <c r="G98" i="2"/>
  <c r="F98" i="2"/>
  <c r="H98" i="2"/>
  <c r="I98" i="2"/>
  <c r="B97" i="2"/>
  <c r="D97" i="2"/>
  <c r="E97" i="2"/>
  <c r="G97" i="2"/>
  <c r="F97" i="2"/>
  <c r="H97" i="2"/>
  <c r="I97" i="2"/>
  <c r="B96" i="2"/>
  <c r="D96" i="2"/>
  <c r="E96" i="2"/>
  <c r="G96" i="2"/>
  <c r="F96" i="2"/>
  <c r="H96" i="2"/>
  <c r="I96" i="2"/>
  <c r="B95" i="2"/>
  <c r="D95" i="2"/>
  <c r="E95" i="2"/>
  <c r="G95" i="2"/>
  <c r="F95" i="2"/>
  <c r="H95" i="2"/>
  <c r="I95" i="2"/>
  <c r="B94" i="2"/>
  <c r="D94" i="2"/>
  <c r="E94" i="2"/>
  <c r="G94" i="2"/>
  <c r="F94" i="2"/>
  <c r="H94" i="2"/>
  <c r="I94" i="2"/>
  <c r="B93" i="2"/>
  <c r="D93" i="2"/>
  <c r="E93" i="2"/>
  <c r="G93" i="2"/>
  <c r="F93" i="2"/>
  <c r="H93" i="2"/>
  <c r="I93" i="2"/>
  <c r="B92" i="2"/>
  <c r="D92" i="2"/>
  <c r="E92" i="2"/>
  <c r="G92" i="2"/>
  <c r="F92" i="2"/>
  <c r="H92" i="2"/>
  <c r="I92" i="2"/>
  <c r="B91" i="2"/>
  <c r="D91" i="2"/>
  <c r="E91" i="2"/>
  <c r="G91" i="2"/>
  <c r="F91" i="2"/>
  <c r="H91" i="2"/>
  <c r="I91" i="2"/>
  <c r="B90" i="2"/>
  <c r="D90" i="2"/>
  <c r="E90" i="2"/>
  <c r="G90" i="2"/>
  <c r="F90" i="2"/>
  <c r="H90" i="2"/>
  <c r="I90" i="2"/>
  <c r="B89" i="2"/>
  <c r="D89" i="2"/>
  <c r="E89" i="2"/>
  <c r="G89" i="2"/>
  <c r="F89" i="2"/>
  <c r="H89" i="2"/>
  <c r="I89" i="2"/>
  <c r="B88" i="2"/>
  <c r="D88" i="2"/>
  <c r="E88" i="2"/>
  <c r="G88" i="2"/>
  <c r="F88" i="2"/>
  <c r="H88" i="2"/>
  <c r="I88" i="2"/>
  <c r="B87" i="2"/>
  <c r="D87" i="2"/>
  <c r="E87" i="2"/>
  <c r="G87" i="2"/>
  <c r="F87" i="2"/>
  <c r="H87" i="2"/>
  <c r="I87" i="2"/>
  <c r="B86" i="2"/>
  <c r="D86" i="2"/>
  <c r="E86" i="2"/>
  <c r="G86" i="2"/>
  <c r="F86" i="2"/>
  <c r="H86" i="2"/>
  <c r="I86" i="2"/>
  <c r="B85" i="2"/>
  <c r="D85" i="2"/>
  <c r="E85" i="2"/>
  <c r="G85" i="2"/>
  <c r="F85" i="2"/>
  <c r="H85" i="2"/>
  <c r="I85" i="2"/>
  <c r="B84" i="2"/>
  <c r="D84" i="2"/>
  <c r="E84" i="2"/>
  <c r="G84" i="2"/>
  <c r="F84" i="2"/>
  <c r="H84" i="2"/>
  <c r="I84" i="2"/>
  <c r="B83" i="2"/>
  <c r="D83" i="2"/>
  <c r="E83" i="2"/>
  <c r="G83" i="2"/>
  <c r="F83" i="2"/>
  <c r="H83" i="2"/>
  <c r="I83" i="2"/>
  <c r="B82" i="2"/>
  <c r="D82" i="2"/>
  <c r="E82" i="2"/>
  <c r="G82" i="2"/>
  <c r="F82" i="2"/>
  <c r="H82" i="2"/>
  <c r="I82" i="2"/>
  <c r="B81" i="2"/>
  <c r="D81" i="2"/>
  <c r="E81" i="2"/>
  <c r="G81" i="2"/>
  <c r="F81" i="2"/>
  <c r="H81" i="2"/>
  <c r="I81" i="2"/>
  <c r="B80" i="2"/>
  <c r="D80" i="2"/>
  <c r="E80" i="2"/>
  <c r="G80" i="2"/>
  <c r="F80" i="2"/>
  <c r="H80" i="2"/>
  <c r="I80" i="2"/>
  <c r="B79" i="2"/>
  <c r="D79" i="2"/>
  <c r="E79" i="2"/>
  <c r="G79" i="2"/>
  <c r="F79" i="2"/>
  <c r="H79" i="2"/>
  <c r="I79" i="2"/>
  <c r="B78" i="2"/>
  <c r="D78" i="2"/>
  <c r="E78" i="2"/>
  <c r="G78" i="2"/>
  <c r="F78" i="2"/>
  <c r="H78" i="2"/>
  <c r="I78" i="2"/>
  <c r="B77" i="2"/>
  <c r="D77" i="2"/>
  <c r="E77" i="2"/>
  <c r="G77" i="2"/>
  <c r="F77" i="2"/>
  <c r="H77" i="2"/>
  <c r="I77" i="2"/>
  <c r="B76" i="2"/>
  <c r="D76" i="2"/>
  <c r="E76" i="2"/>
  <c r="G76" i="2"/>
  <c r="F76" i="2"/>
  <c r="H76" i="2"/>
  <c r="I76" i="2"/>
  <c r="B75" i="2"/>
  <c r="D75" i="2"/>
  <c r="E75" i="2"/>
  <c r="G75" i="2"/>
  <c r="F75" i="2"/>
  <c r="H75" i="2"/>
  <c r="I75" i="2"/>
  <c r="B74" i="2"/>
  <c r="D74" i="2"/>
  <c r="E74" i="2"/>
  <c r="G74" i="2"/>
  <c r="F74" i="2"/>
  <c r="H74" i="2"/>
  <c r="I74" i="2"/>
  <c r="B73" i="2"/>
  <c r="D73" i="2"/>
  <c r="E73" i="2"/>
  <c r="G73" i="2"/>
  <c r="F73" i="2"/>
  <c r="H73" i="2"/>
  <c r="I73" i="2"/>
  <c r="B72" i="2"/>
  <c r="D72" i="2"/>
  <c r="E72" i="2"/>
  <c r="G72" i="2"/>
  <c r="F72" i="2"/>
  <c r="H72" i="2"/>
  <c r="I72" i="2"/>
  <c r="B71" i="2"/>
  <c r="D71" i="2"/>
  <c r="E71" i="2"/>
  <c r="G71" i="2"/>
  <c r="F71" i="2"/>
  <c r="H71" i="2"/>
  <c r="I71" i="2"/>
  <c r="B70" i="2"/>
  <c r="D70" i="2"/>
  <c r="E70" i="2"/>
  <c r="G70" i="2"/>
  <c r="F70" i="2"/>
  <c r="H70" i="2"/>
  <c r="I70" i="2"/>
  <c r="B69" i="2"/>
  <c r="D69" i="2"/>
  <c r="E69" i="2"/>
  <c r="G69" i="2"/>
  <c r="F69" i="2"/>
  <c r="H69" i="2"/>
  <c r="I69" i="2"/>
  <c r="B68" i="2"/>
  <c r="D68" i="2"/>
  <c r="E68" i="2"/>
  <c r="G68" i="2"/>
  <c r="F68" i="2"/>
  <c r="H68" i="2"/>
  <c r="I68" i="2"/>
  <c r="B67" i="2"/>
  <c r="D67" i="2"/>
  <c r="E67" i="2"/>
  <c r="G67" i="2"/>
  <c r="F67" i="2"/>
  <c r="H67" i="2"/>
  <c r="I67" i="2"/>
  <c r="B66" i="2"/>
  <c r="D66" i="2"/>
  <c r="E66" i="2"/>
  <c r="G66" i="2"/>
  <c r="F66" i="2"/>
  <c r="H66" i="2"/>
  <c r="I66" i="2"/>
  <c r="B65" i="2"/>
  <c r="D65" i="2"/>
  <c r="E65" i="2"/>
  <c r="G65" i="2"/>
  <c r="F65" i="2"/>
  <c r="H65" i="2"/>
  <c r="I65" i="2"/>
  <c r="B64" i="2"/>
  <c r="D64" i="2"/>
  <c r="E64" i="2"/>
  <c r="G64" i="2"/>
  <c r="F64" i="2"/>
  <c r="H64" i="2"/>
  <c r="I64" i="2"/>
  <c r="B63" i="2"/>
  <c r="D63" i="2"/>
  <c r="E63" i="2"/>
  <c r="G63" i="2"/>
  <c r="F63" i="2"/>
  <c r="H63" i="2"/>
  <c r="I63" i="2"/>
  <c r="B62" i="2"/>
  <c r="D62" i="2"/>
  <c r="E62" i="2"/>
  <c r="G62" i="2"/>
  <c r="F62" i="2"/>
  <c r="H62" i="2"/>
  <c r="I62" i="2"/>
  <c r="B61" i="2"/>
  <c r="D61" i="2"/>
  <c r="E61" i="2"/>
  <c r="G61" i="2"/>
  <c r="F61" i="2"/>
  <c r="H61" i="2"/>
  <c r="I61" i="2"/>
  <c r="B60" i="2"/>
  <c r="D60" i="2"/>
  <c r="E60" i="2"/>
  <c r="G60" i="2"/>
  <c r="F60" i="2"/>
  <c r="H60" i="2"/>
  <c r="I60" i="2"/>
  <c r="B59" i="2"/>
  <c r="D59" i="2"/>
  <c r="E59" i="2"/>
  <c r="G59" i="2"/>
  <c r="F59" i="2"/>
  <c r="H59" i="2"/>
  <c r="I59" i="2"/>
  <c r="B58" i="2"/>
  <c r="D58" i="2"/>
  <c r="E58" i="2"/>
  <c r="G58" i="2"/>
  <c r="F58" i="2"/>
  <c r="H58" i="2"/>
  <c r="I58" i="2"/>
  <c r="B57" i="2"/>
  <c r="D57" i="2"/>
  <c r="E57" i="2"/>
  <c r="G57" i="2"/>
  <c r="F57" i="2"/>
  <c r="H57" i="2"/>
  <c r="I57" i="2"/>
  <c r="B56" i="2"/>
  <c r="D56" i="2"/>
  <c r="E56" i="2"/>
  <c r="G56" i="2"/>
  <c r="F56" i="2"/>
  <c r="H56" i="2"/>
  <c r="I56" i="2"/>
  <c r="B55" i="2"/>
  <c r="D55" i="2"/>
  <c r="E55" i="2"/>
  <c r="G55" i="2"/>
  <c r="F55" i="2"/>
  <c r="H55" i="2"/>
  <c r="I55" i="2"/>
  <c r="B54" i="2"/>
  <c r="D54" i="2"/>
  <c r="E54" i="2"/>
  <c r="G54" i="2"/>
  <c r="F54" i="2"/>
  <c r="H54" i="2"/>
  <c r="I54" i="2"/>
  <c r="B53" i="2"/>
  <c r="D53" i="2"/>
  <c r="E53" i="2"/>
  <c r="G53" i="2"/>
  <c r="F53" i="2"/>
  <c r="H53" i="2"/>
  <c r="I53" i="2"/>
  <c r="B52" i="2"/>
  <c r="D52" i="2"/>
  <c r="E52" i="2"/>
  <c r="G52" i="2"/>
  <c r="F52" i="2"/>
  <c r="H52" i="2"/>
  <c r="I52" i="2"/>
  <c r="B51" i="2"/>
  <c r="D51" i="2"/>
  <c r="E51" i="2"/>
  <c r="G51" i="2"/>
  <c r="F51" i="2"/>
  <c r="H51" i="2"/>
  <c r="I51" i="2"/>
  <c r="B50" i="2"/>
  <c r="D50" i="2"/>
  <c r="E50" i="2"/>
  <c r="G50" i="2"/>
  <c r="F50" i="2"/>
  <c r="H50" i="2"/>
  <c r="I50" i="2"/>
  <c r="B49" i="2"/>
  <c r="D49" i="2"/>
  <c r="E49" i="2"/>
  <c r="G49" i="2"/>
  <c r="F49" i="2"/>
  <c r="H49" i="2"/>
  <c r="I49" i="2"/>
  <c r="B48" i="2"/>
  <c r="D48" i="2"/>
  <c r="E48" i="2"/>
  <c r="G48" i="2"/>
  <c r="F48" i="2"/>
  <c r="H48" i="2"/>
  <c r="I48" i="2"/>
  <c r="B47" i="2"/>
  <c r="D47" i="2"/>
  <c r="E47" i="2"/>
  <c r="G47" i="2"/>
  <c r="F47" i="2"/>
  <c r="H47" i="2"/>
  <c r="I47" i="2"/>
  <c r="B46" i="2"/>
  <c r="D46" i="2"/>
  <c r="E46" i="2"/>
  <c r="G46" i="2"/>
  <c r="F46" i="2"/>
  <c r="H46" i="2"/>
  <c r="I46" i="2"/>
  <c r="B45" i="2"/>
  <c r="D45" i="2"/>
  <c r="E45" i="2"/>
  <c r="G45" i="2"/>
  <c r="F45" i="2"/>
  <c r="H45" i="2"/>
  <c r="I45" i="2"/>
  <c r="B44" i="2"/>
  <c r="D44" i="2"/>
  <c r="E44" i="2"/>
  <c r="G44" i="2"/>
  <c r="F44" i="2"/>
  <c r="H44" i="2"/>
  <c r="I44" i="2"/>
  <c r="B43" i="2"/>
  <c r="D43" i="2"/>
  <c r="E43" i="2"/>
  <c r="G43" i="2"/>
  <c r="F43" i="2"/>
  <c r="H43" i="2"/>
  <c r="I43" i="2"/>
  <c r="B42" i="2"/>
  <c r="D42" i="2"/>
  <c r="E42" i="2"/>
  <c r="G42" i="2"/>
  <c r="F42" i="2"/>
  <c r="H42" i="2"/>
  <c r="I42" i="2"/>
  <c r="B41" i="2"/>
  <c r="D41" i="2"/>
  <c r="E41" i="2"/>
  <c r="G41" i="2"/>
  <c r="F41" i="2"/>
  <c r="H41" i="2"/>
  <c r="I41" i="2"/>
  <c r="B40" i="2"/>
  <c r="D40" i="2"/>
  <c r="E40" i="2"/>
  <c r="G40" i="2"/>
  <c r="F40" i="2"/>
  <c r="H40" i="2"/>
  <c r="I40" i="2"/>
  <c r="B39" i="2"/>
  <c r="D39" i="2"/>
  <c r="E39" i="2"/>
  <c r="G39" i="2"/>
  <c r="F39" i="2"/>
  <c r="H39" i="2"/>
  <c r="I39" i="2"/>
  <c r="B38" i="2"/>
  <c r="D38" i="2"/>
  <c r="E38" i="2"/>
  <c r="G38" i="2"/>
  <c r="F38" i="2"/>
  <c r="H38" i="2"/>
  <c r="I38" i="2"/>
  <c r="B37" i="2"/>
  <c r="D37" i="2"/>
  <c r="E37" i="2"/>
  <c r="G37" i="2"/>
  <c r="F37" i="2"/>
  <c r="H37" i="2"/>
  <c r="I37" i="2"/>
  <c r="B36" i="2"/>
  <c r="D36" i="2"/>
  <c r="E36" i="2"/>
  <c r="G36" i="2"/>
  <c r="F36" i="2"/>
  <c r="H36" i="2"/>
  <c r="I36" i="2"/>
  <c r="B35" i="2"/>
  <c r="D35" i="2"/>
  <c r="E35" i="2"/>
  <c r="G35" i="2"/>
  <c r="F35" i="2"/>
  <c r="H35" i="2"/>
  <c r="I35" i="2"/>
  <c r="B34" i="2"/>
  <c r="D34" i="2"/>
  <c r="E34" i="2"/>
  <c r="G34" i="2"/>
  <c r="F34" i="2"/>
  <c r="H34" i="2"/>
  <c r="I34" i="2"/>
  <c r="B33" i="2"/>
  <c r="D33" i="2"/>
  <c r="E33" i="2"/>
  <c r="G33" i="2"/>
  <c r="F33" i="2"/>
  <c r="H33" i="2"/>
  <c r="I33" i="2"/>
  <c r="B32" i="2"/>
  <c r="D32" i="2"/>
  <c r="E32" i="2"/>
  <c r="G32" i="2"/>
  <c r="F32" i="2"/>
  <c r="H32" i="2"/>
  <c r="I32" i="2"/>
  <c r="B31" i="2"/>
  <c r="D31" i="2"/>
  <c r="E31" i="2"/>
  <c r="G31" i="2"/>
  <c r="F31" i="2"/>
  <c r="H31" i="2"/>
  <c r="I31" i="2"/>
  <c r="B30" i="2"/>
  <c r="D30" i="2"/>
  <c r="E30" i="2"/>
  <c r="G30" i="2"/>
  <c r="F30" i="2"/>
  <c r="H30" i="2"/>
  <c r="I30" i="2"/>
  <c r="B29" i="2"/>
  <c r="D29" i="2"/>
  <c r="E29" i="2"/>
  <c r="G29" i="2"/>
  <c r="F29" i="2"/>
  <c r="H29" i="2"/>
  <c r="I29" i="2"/>
  <c r="B28" i="2"/>
  <c r="D28" i="2"/>
  <c r="E28" i="2"/>
  <c r="G28" i="2"/>
  <c r="F28" i="2"/>
  <c r="H28" i="2"/>
  <c r="I28" i="2"/>
  <c r="B27" i="2"/>
  <c r="D27" i="2"/>
  <c r="E27" i="2"/>
  <c r="G27" i="2"/>
  <c r="F27" i="2"/>
  <c r="H27" i="2"/>
  <c r="I27" i="2"/>
  <c r="B26" i="2"/>
  <c r="D26" i="2"/>
  <c r="E26" i="2"/>
  <c r="G26" i="2"/>
  <c r="F26" i="2"/>
  <c r="H26" i="2"/>
  <c r="I26" i="2"/>
  <c r="B25" i="2"/>
  <c r="D25" i="2"/>
  <c r="E25" i="2"/>
  <c r="G25" i="2"/>
  <c r="F25" i="2"/>
  <c r="H25" i="2"/>
  <c r="I25" i="2"/>
  <c r="B24" i="2"/>
  <c r="D24" i="2"/>
  <c r="E24" i="2"/>
  <c r="G24" i="2"/>
  <c r="F24" i="2"/>
  <c r="H24" i="2"/>
  <c r="I24" i="2"/>
  <c r="B23" i="2"/>
  <c r="D23" i="2"/>
  <c r="E23" i="2"/>
  <c r="G23" i="2"/>
  <c r="F23" i="2"/>
  <c r="H23" i="2"/>
  <c r="I23" i="2"/>
  <c r="B22" i="2"/>
  <c r="D22" i="2"/>
  <c r="E22" i="2"/>
  <c r="G22" i="2"/>
  <c r="F22" i="2"/>
  <c r="H22" i="2"/>
  <c r="I22" i="2"/>
  <c r="B21" i="2"/>
  <c r="D21" i="2"/>
  <c r="E21" i="2"/>
  <c r="G21" i="2"/>
  <c r="F21" i="2"/>
  <c r="H21" i="2"/>
  <c r="I21" i="2"/>
  <c r="B20" i="2"/>
  <c r="D20" i="2"/>
  <c r="E20" i="2"/>
  <c r="G20" i="2"/>
  <c r="F20" i="2"/>
  <c r="H20" i="2"/>
  <c r="I20" i="2"/>
  <c r="B19" i="2"/>
  <c r="D19" i="2"/>
  <c r="E19" i="2"/>
  <c r="G19" i="2"/>
  <c r="F19" i="2"/>
  <c r="H19" i="2"/>
  <c r="I19" i="2"/>
  <c r="B18" i="2"/>
  <c r="D18" i="2"/>
  <c r="E18" i="2"/>
  <c r="G18" i="2"/>
  <c r="F18" i="2"/>
  <c r="H18" i="2"/>
  <c r="I18" i="2"/>
  <c r="B17" i="2"/>
  <c r="D17" i="2"/>
  <c r="E17" i="2"/>
  <c r="G17" i="2"/>
  <c r="F17" i="2"/>
  <c r="H17" i="2"/>
  <c r="I17" i="2"/>
  <c r="B16" i="2"/>
  <c r="D16" i="2"/>
  <c r="E16" i="2"/>
  <c r="G16" i="2"/>
  <c r="F16" i="2"/>
  <c r="H16" i="2"/>
  <c r="I16" i="2"/>
  <c r="B15" i="2"/>
  <c r="D15" i="2"/>
  <c r="E15" i="2"/>
  <c r="G15" i="2"/>
  <c r="F15" i="2"/>
  <c r="H15" i="2"/>
  <c r="I15" i="2"/>
  <c r="B14" i="2"/>
  <c r="D14" i="2"/>
  <c r="E14" i="2"/>
  <c r="G14" i="2"/>
  <c r="F14" i="2"/>
  <c r="H14" i="2"/>
  <c r="I14" i="2"/>
  <c r="B13" i="2"/>
  <c r="D13" i="2"/>
  <c r="E13" i="2"/>
  <c r="G13" i="2"/>
  <c r="F13" i="2"/>
  <c r="H13" i="2"/>
  <c r="I13" i="2"/>
  <c r="B12" i="2"/>
  <c r="D12" i="2"/>
  <c r="E12" i="2"/>
  <c r="G12" i="2"/>
  <c r="F12" i="2"/>
  <c r="H12" i="2"/>
  <c r="I12" i="2"/>
  <c r="B11" i="2"/>
  <c r="D11" i="2"/>
  <c r="E11" i="2"/>
  <c r="G11" i="2"/>
  <c r="F11" i="2"/>
  <c r="H11" i="2"/>
  <c r="I11" i="2"/>
  <c r="B10" i="2"/>
  <c r="D10" i="2"/>
  <c r="E10" i="2"/>
  <c r="G10" i="2"/>
  <c r="F10" i="2"/>
  <c r="H10" i="2"/>
  <c r="I10" i="2"/>
  <c r="B9" i="2"/>
  <c r="D9" i="2"/>
  <c r="E9" i="2"/>
  <c r="G9" i="2"/>
  <c r="F9" i="2"/>
  <c r="H9" i="2"/>
  <c r="I9" i="2"/>
  <c r="B8" i="2"/>
  <c r="D8" i="2"/>
  <c r="E8" i="2"/>
  <c r="G8" i="2"/>
  <c r="F8" i="2"/>
  <c r="H8" i="2"/>
  <c r="I8" i="2"/>
  <c r="B7" i="2"/>
  <c r="D7" i="2"/>
  <c r="E7" i="2"/>
  <c r="G7" i="2"/>
  <c r="F7" i="2"/>
  <c r="H7" i="2"/>
  <c r="I7" i="2"/>
  <c r="B6" i="2"/>
  <c r="D6" i="2"/>
  <c r="E6" i="2"/>
  <c r="G6" i="2"/>
  <c r="F6" i="2"/>
  <c r="H6" i="2"/>
  <c r="I6" i="2"/>
  <c r="B5" i="2"/>
  <c r="D5" i="2"/>
  <c r="E5" i="2"/>
  <c r="G5" i="2"/>
  <c r="F5" i="2"/>
  <c r="H5" i="2"/>
  <c r="I5" i="2"/>
  <c r="B4" i="2"/>
  <c r="D4" i="2"/>
  <c r="E4" i="2"/>
  <c r="G4" i="2"/>
  <c r="F4" i="2"/>
  <c r="H4" i="2"/>
  <c r="I4" i="2"/>
  <c r="B3" i="2"/>
  <c r="D3" i="2"/>
  <c r="E3" i="2"/>
  <c r="G3" i="2"/>
  <c r="F3" i="2"/>
  <c r="H3" i="2"/>
  <c r="I3" i="2"/>
</calcChain>
</file>

<file path=xl/sharedStrings.xml><?xml version="1.0" encoding="utf-8"?>
<sst xmlns="http://schemas.openxmlformats.org/spreadsheetml/2006/main" count="53" uniqueCount="39">
  <si>
    <t>제조업</t>
    <phoneticPr fontId="19" type="noConversion"/>
  </si>
  <si>
    <t>전 산업</t>
    <phoneticPr fontId="19" type="noConversion"/>
  </si>
  <si>
    <t>bsi_all</t>
    <phoneticPr fontId="19" type="noConversion"/>
  </si>
  <si>
    <t>기업경기실사지수</t>
    <phoneticPr fontId="19" type="noConversion"/>
  </si>
  <si>
    <t>(인포)</t>
    <phoneticPr fontId="19" type="noConversion"/>
  </si>
  <si>
    <t>YoY</t>
    <phoneticPr fontId="19" type="noConversion"/>
  </si>
  <si>
    <t>원수치</t>
    <phoneticPr fontId="19" type="noConversion"/>
  </si>
  <si>
    <t>(블룸)_KOBSAS</t>
    <phoneticPr fontId="19" type="noConversion"/>
  </si>
  <si>
    <t>(블룸)_NAPMPMI</t>
  </si>
  <si>
    <t>(블룸)_KOMSM2Y</t>
    <phoneticPr fontId="19" type="noConversion"/>
  </si>
  <si>
    <t>(블룸)_KOPPIYOY</t>
    <phoneticPr fontId="19" type="noConversion"/>
  </si>
  <si>
    <t>(블룸)_KOCPIYOY</t>
    <phoneticPr fontId="19" type="noConversion"/>
  </si>
  <si>
    <t>(블룸)_SKLILY</t>
    <phoneticPr fontId="19" type="noConversion"/>
  </si>
  <si>
    <t>원수치_(2015=100)</t>
  </si>
  <si>
    <t>원수치_(2015=100)</t>
    <phoneticPr fontId="19" type="noConversion"/>
  </si>
  <si>
    <t>평잔</t>
    <phoneticPr fontId="19" type="noConversion"/>
  </si>
  <si>
    <t>Date</t>
    <phoneticPr fontId="19" type="noConversion"/>
  </si>
  <si>
    <t>bsi_man</t>
    <phoneticPr fontId="19" type="noConversion"/>
  </si>
  <si>
    <t>date</t>
    <phoneticPr fontId="19" type="noConversion"/>
  </si>
  <si>
    <t>YoY계산</t>
    <phoneticPr fontId="19" type="noConversion"/>
  </si>
  <si>
    <t>(블룸)_KOEXTOTY</t>
    <phoneticPr fontId="19" type="noConversion"/>
  </si>
  <si>
    <t>수출YoY</t>
    <phoneticPr fontId="19" type="noConversion"/>
  </si>
  <si>
    <t xml:space="preserve"> </t>
    <phoneticPr fontId="19" type="noConversion"/>
  </si>
  <si>
    <t>생산자물가지수 YoY</t>
    <phoneticPr fontId="19" type="noConversion"/>
  </si>
  <si>
    <t>소비자물가지수 YoY</t>
    <phoneticPr fontId="19" type="noConversion"/>
  </si>
  <si>
    <t>광의통화(M2) YoY</t>
    <phoneticPr fontId="19" type="noConversion"/>
  </si>
  <si>
    <t>선행종합지수 YoY</t>
    <phoneticPr fontId="19" type="noConversion"/>
  </si>
  <si>
    <t>■ T_Monthly(월별 데이터 테이블)</t>
    <phoneticPr fontId="19" type="noConversion"/>
  </si>
  <si>
    <t>ext_yoy</t>
    <phoneticPr fontId="19" type="noConversion"/>
  </si>
  <si>
    <t>m2_yoy</t>
    <phoneticPr fontId="19" type="noConversion"/>
  </si>
  <si>
    <t>ppi_yoy</t>
    <phoneticPr fontId="19" type="noConversion"/>
  </si>
  <si>
    <t>cpi_yoy</t>
    <phoneticPr fontId="19" type="noConversion"/>
  </si>
  <si>
    <t>cli_yoy_b</t>
    <phoneticPr fontId="19" type="noConversion"/>
  </si>
  <si>
    <t>cli_yoy_i</t>
    <phoneticPr fontId="19" type="noConversion"/>
  </si>
  <si>
    <t>[미국]ISM_제조업PMI지수</t>
    <phoneticPr fontId="19" type="noConversion"/>
  </si>
  <si>
    <t>man_pmi_us</t>
    <phoneticPr fontId="19" type="noConversion"/>
  </si>
  <si>
    <t>(인포)OECD</t>
    <phoneticPr fontId="19" type="noConversion"/>
  </si>
  <si>
    <t>cli_oecd_yoy_i</t>
    <phoneticPr fontId="19" type="noConversion"/>
  </si>
  <si>
    <t>▶데이터 비교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</si>
</sst>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"/>
  </numFmts>
  <fonts count="4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KB금융 본문체 Light"/>
      <family val="3"/>
      <charset val="129"/>
    </font>
    <font>
      <sz val="12"/>
      <color theme="1"/>
      <name val="KB금융 본문체 Medium"/>
      <family val="3"/>
      <charset val="129"/>
    </font>
    <font>
      <sz val="10"/>
      <color theme="1"/>
      <name val="KB금융 본문체 Medium"/>
      <family val="3"/>
      <charset val="129"/>
    </font>
    <font>
      <sz val="10"/>
      <color theme="5" tint="-0.249977111117893"/>
      <name val="KB금융 본문체 Medium"/>
      <family val="3"/>
      <charset val="129"/>
    </font>
    <font>
      <sz val="10"/>
      <color theme="1" tint="0.249977111117893"/>
      <name val="KB금융 본문체 Medium"/>
      <family val="3"/>
      <charset val="129"/>
    </font>
    <font>
      <sz val="10"/>
      <color theme="1"/>
      <name val="맑은 고딕"/>
      <family val="2"/>
      <scheme val="minor"/>
    </font>
    <font>
      <sz val="10"/>
      <color theme="5" tint="-0.249977111117893"/>
      <name val="KB금융 본문체 Light"/>
      <family val="3"/>
      <charset val="129"/>
    </font>
    <font>
      <sz val="10"/>
      <color theme="1" tint="0.249977111117893"/>
      <name val="KB금융 본문체 Light"/>
      <family val="3"/>
      <charset val="129"/>
    </font>
    <font>
      <sz val="10"/>
      <color theme="5" tint="-0.249977111117893"/>
      <name val="맑은 고딕"/>
      <family val="2"/>
      <scheme val="minor"/>
    </font>
    <font>
      <sz val="10"/>
      <color theme="1" tint="0.249977111117893"/>
      <name val="맑은 고딕"/>
      <family val="2"/>
      <scheme val="minor"/>
    </font>
    <font>
      <sz val="10"/>
      <color rgb="FFFF0000"/>
      <name val="KB금융 본문체 Medium"/>
      <family val="3"/>
      <charset val="129"/>
    </font>
    <font>
      <sz val="10"/>
      <color theme="1"/>
      <name val="KB금융 본문체 Light"/>
      <family val="3"/>
      <charset val="129"/>
    </font>
    <font>
      <sz val="10"/>
      <color rgb="FFFF0000"/>
      <name val="KB금융 본문체 Light"/>
      <family val="3"/>
      <charset val="129"/>
    </font>
    <font>
      <sz val="10"/>
      <color rgb="FF0000FF"/>
      <name val="맑은 고딕"/>
      <family val="2"/>
      <scheme val="minor"/>
    </font>
    <font>
      <sz val="10"/>
      <color theme="2" tint="-0.499984740745262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b/>
      <sz val="10"/>
      <color rgb="FFFF0000"/>
      <name val="KB금융 본문체 Light"/>
      <family val="3"/>
      <charset val="129"/>
    </font>
    <font>
      <b/>
      <sz val="10"/>
      <color rgb="FFFF0000"/>
      <name val="맑은 고딕"/>
      <family val="2"/>
      <scheme val="minor"/>
    </font>
    <font>
      <sz val="10"/>
      <color theme="0" tint="-0.499984740745262"/>
      <name val="맑은 고딕"/>
      <family val="2"/>
      <scheme val="minor"/>
    </font>
    <font>
      <sz val="10"/>
      <color theme="0" tint="-0.499984740745262"/>
      <name val="KB금융 본문체 Light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>
      <alignment vertical="center"/>
    </xf>
  </cellStyleXfs>
  <cellXfs count="91">
    <xf numFmtId="0" fontId="0" fillId="0" borderId="0" xfId="0"/>
    <xf numFmtId="22" fontId="20" fillId="34" borderId="14" xfId="42" applyNumberFormat="1" applyFont="1" applyFill="1" applyBorder="1" applyAlignment="1" applyProtection="1"/>
    <xf numFmtId="22" fontId="20" fillId="34" borderId="13" xfId="42" applyNumberFormat="1" applyFont="1" applyFill="1" applyBorder="1" applyAlignment="1" applyProtection="1"/>
    <xf numFmtId="22" fontId="20" fillId="0" borderId="13" xfId="42" applyNumberFormat="1" applyFont="1" applyFill="1" applyBorder="1" applyAlignment="1" applyProtection="1"/>
    <xf numFmtId="22" fontId="20" fillId="33" borderId="23" xfId="42" applyNumberFormat="1" applyFont="1" applyFill="1" applyBorder="1" applyAlignment="1" applyProtection="1"/>
    <xf numFmtId="22" fontId="20" fillId="33" borderId="24" xfId="42" applyNumberFormat="1" applyFont="1" applyFill="1" applyBorder="1" applyAlignment="1" applyProtection="1"/>
    <xf numFmtId="0" fontId="21" fillId="33" borderId="25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33" borderId="22" xfId="0" applyFont="1" applyFill="1" applyBorder="1" applyAlignment="1">
      <alignment horizontal="center"/>
    </xf>
    <xf numFmtId="0" fontId="24" fillId="33" borderId="20" xfId="0" applyFont="1" applyFill="1" applyBorder="1" applyAlignment="1">
      <alignment horizontal="center"/>
    </xf>
    <xf numFmtId="0" fontId="25" fillId="0" borderId="0" xfId="0" applyFont="1" applyFill="1" applyBorder="1"/>
    <xf numFmtId="0" fontId="27" fillId="0" borderId="21" xfId="0" applyFont="1" applyFill="1" applyBorder="1"/>
    <xf numFmtId="0" fontId="27" fillId="0" borderId="19" xfId="0" applyFont="1" applyFill="1" applyBorder="1"/>
    <xf numFmtId="0" fontId="25" fillId="33" borderId="25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13" xfId="0" applyFont="1" applyBorder="1"/>
    <xf numFmtId="0" fontId="22" fillId="0" borderId="0" xfId="0" applyFont="1"/>
    <xf numFmtId="0" fontId="31" fillId="34" borderId="10" xfId="0" applyFont="1" applyFill="1" applyBorder="1"/>
    <xf numFmtId="0" fontId="31" fillId="34" borderId="16" xfId="0" applyFont="1" applyFill="1" applyBorder="1"/>
    <xf numFmtId="0" fontId="31" fillId="34" borderId="18" xfId="0" applyFont="1" applyFill="1" applyBorder="1"/>
    <xf numFmtId="176" fontId="32" fillId="34" borderId="10" xfId="43" applyNumberFormat="1" applyFont="1" applyFill="1" applyBorder="1" applyAlignment="1"/>
    <xf numFmtId="0" fontId="25" fillId="0" borderId="0" xfId="0" applyFont="1"/>
    <xf numFmtId="0" fontId="31" fillId="34" borderId="0" xfId="0" applyFont="1" applyFill="1"/>
    <xf numFmtId="0" fontId="31" fillId="34" borderId="15" xfId="0" applyFont="1" applyFill="1" applyBorder="1"/>
    <xf numFmtId="0" fontId="31" fillId="34" borderId="17" xfId="0" applyFont="1" applyFill="1" applyBorder="1"/>
    <xf numFmtId="176" fontId="32" fillId="34" borderId="0" xfId="43" applyNumberFormat="1" applyFont="1" applyFill="1" applyAlignment="1"/>
    <xf numFmtId="0" fontId="31" fillId="0" borderId="0" xfId="0" applyFont="1" applyFill="1"/>
    <xf numFmtId="0" fontId="31" fillId="0" borderId="15" xfId="0" applyFont="1" applyFill="1" applyBorder="1"/>
    <xf numFmtId="0" fontId="31" fillId="0" borderId="17" xfId="0" applyFont="1" applyFill="1" applyBorder="1"/>
    <xf numFmtId="176" fontId="32" fillId="0" borderId="0" xfId="43" applyNumberFormat="1" applyFont="1" applyFill="1" applyAlignment="1"/>
    <xf numFmtId="0" fontId="25" fillId="0" borderId="13" xfId="0" applyFont="1" applyBorder="1"/>
    <xf numFmtId="0" fontId="25" fillId="0" borderId="0" xfId="0" applyFont="1" applyFill="1"/>
    <xf numFmtId="0" fontId="33" fillId="0" borderId="11" xfId="0" applyFont="1" applyFill="1" applyBorder="1"/>
    <xf numFmtId="0" fontId="25" fillId="0" borderId="15" xfId="0" applyFont="1" applyFill="1" applyBorder="1"/>
    <xf numFmtId="0" fontId="33" fillId="0" borderId="0" xfId="0" applyFont="1" applyFill="1"/>
    <xf numFmtId="0" fontId="25" fillId="0" borderId="17" xfId="0" applyFont="1" applyFill="1" applyBorder="1"/>
    <xf numFmtId="176" fontId="34" fillId="0" borderId="13" xfId="43" applyNumberFormat="1" applyFont="1" applyFill="1" applyBorder="1" applyAlignment="1"/>
    <xf numFmtId="0" fontId="33" fillId="0" borderId="15" xfId="0" applyFont="1" applyFill="1" applyBorder="1"/>
    <xf numFmtId="176" fontId="35" fillId="0" borderId="0" xfId="43" applyNumberFormat="1" applyFont="1" applyFill="1" applyAlignment="1"/>
    <xf numFmtId="177" fontId="27" fillId="0" borderId="19" xfId="0" applyNumberFormat="1" applyFont="1" applyFill="1" applyBorder="1"/>
    <xf numFmtId="0" fontId="36" fillId="0" borderId="17" xfId="0" applyFont="1" applyFill="1" applyBorder="1"/>
    <xf numFmtId="0" fontId="36" fillId="34" borderId="18" xfId="0" applyFont="1" applyFill="1" applyBorder="1"/>
    <xf numFmtId="0" fontId="36" fillId="34" borderId="17" xfId="0" applyFont="1" applyFill="1" applyBorder="1"/>
    <xf numFmtId="0" fontId="37" fillId="0" borderId="17" xfId="0" applyFont="1" applyFill="1" applyBorder="1"/>
    <xf numFmtId="0" fontId="30" fillId="0" borderId="0" xfId="0" applyFont="1" applyFill="1" applyBorder="1" applyAlignment="1">
      <alignment vertical="center"/>
    </xf>
    <xf numFmtId="0" fontId="35" fillId="0" borderId="0" xfId="0" applyFont="1" applyFill="1" applyBorder="1"/>
    <xf numFmtId="0" fontId="31" fillId="0" borderId="13" xfId="0" applyFont="1" applyBorder="1"/>
    <xf numFmtId="0" fontId="31" fillId="0" borderId="11" xfId="0" applyFont="1" applyFill="1" applyBorder="1"/>
    <xf numFmtId="176" fontId="31" fillId="0" borderId="13" xfId="43" applyNumberFormat="1" applyFont="1" applyFill="1" applyBorder="1" applyAlignment="1"/>
    <xf numFmtId="176" fontId="31" fillId="0" borderId="0" xfId="43" applyNumberFormat="1" applyFont="1" applyFill="1" applyBorder="1" applyAlignment="1"/>
    <xf numFmtId="0" fontId="31" fillId="0" borderId="13" xfId="0" applyFont="1" applyFill="1" applyBorder="1"/>
    <xf numFmtId="0" fontId="38" fillId="0" borderId="0" xfId="0" applyFont="1" applyBorder="1"/>
    <xf numFmtId="0" fontId="38" fillId="0" borderId="0" xfId="0" applyFont="1"/>
    <xf numFmtId="0" fontId="38" fillId="0" borderId="0" xfId="0" applyFont="1" applyFill="1" applyBorder="1"/>
    <xf numFmtId="0" fontId="38" fillId="0" borderId="0" xfId="0" applyFont="1" applyFill="1"/>
    <xf numFmtId="176" fontId="39" fillId="34" borderId="0" xfId="43" applyNumberFormat="1" applyFont="1" applyFill="1" applyAlignment="1"/>
    <xf numFmtId="0" fontId="38" fillId="34" borderId="0" xfId="0" applyFont="1" applyFill="1" applyBorder="1"/>
    <xf numFmtId="0" fontId="38" fillId="34" borderId="0" xfId="0" applyFont="1" applyFill="1"/>
    <xf numFmtId="0" fontId="31" fillId="35" borderId="11" xfId="0" applyFont="1" applyFill="1" applyBorder="1"/>
    <xf numFmtId="0" fontId="31" fillId="35" borderId="0" xfId="0" quotePrefix="1" applyFont="1" applyFill="1"/>
    <xf numFmtId="0" fontId="31" fillId="35" borderId="0" xfId="0" applyFont="1" applyFill="1"/>
    <xf numFmtId="0" fontId="31" fillId="35" borderId="15" xfId="0" applyFont="1" applyFill="1" applyBorder="1"/>
    <xf numFmtId="0" fontId="31" fillId="36" borderId="0" xfId="0" applyFont="1" applyFill="1"/>
    <xf numFmtId="0" fontId="31" fillId="36" borderId="17" xfId="0" applyFont="1" applyFill="1" applyBorder="1"/>
    <xf numFmtId="176" fontId="31" fillId="36" borderId="0" xfId="43" applyNumberFormat="1" applyFont="1" applyFill="1" applyBorder="1" applyAlignment="1"/>
    <xf numFmtId="0" fontId="38" fillId="36" borderId="0" xfId="0" applyFont="1" applyFill="1" applyBorder="1"/>
    <xf numFmtId="0" fontId="38" fillId="36" borderId="0" xfId="0" applyFont="1" applyFill="1"/>
    <xf numFmtId="176" fontId="39" fillId="0" borderId="0" xfId="43" applyNumberFormat="1" applyFont="1" applyFill="1" applyAlignment="1"/>
    <xf numFmtId="0" fontId="31" fillId="34" borderId="12" xfId="0" applyFont="1" applyFill="1" applyBorder="1"/>
    <xf numFmtId="176" fontId="31" fillId="34" borderId="14" xfId="43" applyNumberFormat="1" applyFont="1" applyFill="1" applyBorder="1" applyAlignment="1"/>
    <xf numFmtId="0" fontId="31" fillId="34" borderId="11" xfId="0" applyFont="1" applyFill="1" applyBorder="1"/>
    <xf numFmtId="176" fontId="31" fillId="34" borderId="13" xfId="43" applyNumberFormat="1" applyFont="1" applyFill="1" applyBorder="1" applyAlignment="1"/>
    <xf numFmtId="0" fontId="23" fillId="33" borderId="26" xfId="0" applyFont="1" applyFill="1" applyBorder="1" applyAlignment="1">
      <alignment horizontal="center"/>
    </xf>
    <xf numFmtId="0" fontId="23" fillId="33" borderId="27" xfId="0" applyFont="1" applyFill="1" applyBorder="1" applyAlignment="1">
      <alignment horizontal="center"/>
    </xf>
    <xf numFmtId="0" fontId="26" fillId="0" borderId="28" xfId="0" applyFont="1" applyFill="1" applyBorder="1"/>
    <xf numFmtId="0" fontId="26" fillId="0" borderId="29" xfId="0" applyFont="1" applyFill="1" applyBorder="1"/>
    <xf numFmtId="0" fontId="26" fillId="0" borderId="30" xfId="0" applyFont="1" applyFill="1" applyBorder="1"/>
    <xf numFmtId="0" fontId="26" fillId="0" borderId="31" xfId="0" applyFont="1" applyFill="1" applyBorder="1"/>
    <xf numFmtId="0" fontId="23" fillId="33" borderId="32" xfId="0" applyFont="1" applyFill="1" applyBorder="1" applyAlignment="1">
      <alignment horizontal="center"/>
    </xf>
    <xf numFmtId="0" fontId="23" fillId="33" borderId="33" xfId="0" applyFont="1" applyFill="1" applyBorder="1" applyAlignment="1">
      <alignment horizontal="center"/>
    </xf>
    <xf numFmtId="0" fontId="26" fillId="0" borderId="34" xfId="0" applyFont="1" applyFill="1" applyBorder="1"/>
    <xf numFmtId="177" fontId="26" fillId="0" borderId="35" xfId="0" applyNumberFormat="1" applyFont="1" applyFill="1" applyBorder="1"/>
    <xf numFmtId="177" fontId="26" fillId="0" borderId="29" xfId="0" applyNumberFormat="1" applyFont="1" applyFill="1" applyBorder="1"/>
    <xf numFmtId="0" fontId="26" fillId="0" borderId="36" xfId="0" applyFont="1" applyFill="1" applyBorder="1"/>
    <xf numFmtId="177" fontId="26" fillId="0" borderId="37" xfId="0" applyNumberFormat="1" applyFont="1" applyFill="1" applyBorder="1"/>
    <xf numFmtId="0" fontId="23" fillId="0" borderId="0" xfId="0" applyFont="1" applyFill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/>
    </xf>
  </cellXfs>
  <cellStyles count="4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백분율" xfId="43" builtinId="5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buc/Downloads/&#50900;&#48324;/(&#51064;&#54252;)_&#53685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포맥스"/>
    </sheetNames>
    <sheetDataSet>
      <sheetData sheetId="0">
        <row r="1">
          <cell r="A1" t="str">
            <v>date</v>
          </cell>
          <cell r="B1" t="str">
            <v>(인포)_기업경기실사지수</v>
          </cell>
          <cell r="C1" t="str">
            <v>[미국]ISM제조업지수</v>
          </cell>
          <cell r="D1" t="str">
            <v>(인포)_한국 수출(원수치)</v>
          </cell>
          <cell r="E1" t="str">
            <v>(인포)_월별 소비자물가등락률(전년비)</v>
          </cell>
          <cell r="F1" t="str">
            <v>(인포)_생산자물가지수(2015=100)</v>
          </cell>
          <cell r="G1" t="str">
            <v>(인포)_광의통화(M2_평잔)</v>
          </cell>
          <cell r="H1" t="str">
            <v>(인포)_선행종합지수(2015=100)</v>
          </cell>
          <cell r="I1" t="str">
            <v xml:space="preserve"> OECD_CLI</v>
          </cell>
        </row>
        <row r="2">
          <cell r="A2">
            <v>44316</v>
          </cell>
          <cell r="B2">
            <v>88</v>
          </cell>
          <cell r="C2">
            <v>60.7</v>
          </cell>
          <cell r="D2" t="e">
            <v>#N/A</v>
          </cell>
          <cell r="E2">
            <v>2.2999999999999998</v>
          </cell>
          <cell r="F2" t="e">
            <v>#N/A</v>
          </cell>
          <cell r="G2" t="e">
            <v>#N/A</v>
          </cell>
          <cell r="H2" t="e">
            <v>#N/A</v>
          </cell>
          <cell r="I2" t="e">
            <v>#N/A</v>
          </cell>
        </row>
        <row r="3">
          <cell r="A3">
            <v>44286</v>
          </cell>
          <cell r="B3">
            <v>83</v>
          </cell>
          <cell r="C3">
            <v>64.7</v>
          </cell>
          <cell r="D3">
            <v>53783</v>
          </cell>
          <cell r="E3">
            <v>1.5</v>
          </cell>
          <cell r="F3">
            <v>106.85</v>
          </cell>
          <cell r="G3" t="e">
            <v>#N/A</v>
          </cell>
          <cell r="H3">
            <v>125.3</v>
          </cell>
          <cell r="I3">
            <v>101.762</v>
          </cell>
        </row>
        <row r="4">
          <cell r="A4">
            <v>44255</v>
          </cell>
          <cell r="B4">
            <v>76</v>
          </cell>
          <cell r="C4">
            <v>60.8</v>
          </cell>
          <cell r="D4">
            <v>44693</v>
          </cell>
          <cell r="E4">
            <v>1.1000000000000001</v>
          </cell>
          <cell r="F4">
            <v>105.91</v>
          </cell>
          <cell r="G4">
            <v>3271405.8</v>
          </cell>
          <cell r="H4">
            <v>124.8</v>
          </cell>
          <cell r="I4">
            <v>101.5475</v>
          </cell>
        </row>
        <row r="5">
          <cell r="A5">
            <v>44227</v>
          </cell>
          <cell r="B5">
            <v>77</v>
          </cell>
          <cell r="C5">
            <v>58.7</v>
          </cell>
          <cell r="D5">
            <v>48010</v>
          </cell>
          <cell r="E5">
            <v>0.6</v>
          </cell>
          <cell r="F5">
            <v>105.05</v>
          </cell>
          <cell r="G5">
            <v>3223486.7</v>
          </cell>
          <cell r="H5">
            <v>124.1</v>
          </cell>
          <cell r="I5">
            <v>101.30889999999999</v>
          </cell>
        </row>
        <row r="6">
          <cell r="A6">
            <v>44196</v>
          </cell>
          <cell r="B6">
            <v>75</v>
          </cell>
          <cell r="C6">
            <v>60.5</v>
          </cell>
          <cell r="D6">
            <v>51332</v>
          </cell>
          <cell r="E6">
            <v>0.5</v>
          </cell>
          <cell r="F6">
            <v>103.9</v>
          </cell>
          <cell r="G6">
            <v>3197671.2</v>
          </cell>
          <cell r="H6">
            <v>123.4</v>
          </cell>
          <cell r="I6">
            <v>101.0518</v>
          </cell>
        </row>
        <row r="7">
          <cell r="A7">
            <v>44165</v>
          </cell>
          <cell r="B7">
            <v>78</v>
          </cell>
          <cell r="C7">
            <v>57.7</v>
          </cell>
          <cell r="D7">
            <v>45752</v>
          </cell>
          <cell r="E7">
            <v>0.6</v>
          </cell>
          <cell r="F7">
            <v>103.09</v>
          </cell>
          <cell r="G7">
            <v>3183500.9</v>
          </cell>
          <cell r="H7">
            <v>122.6</v>
          </cell>
          <cell r="I7">
            <v>100.7851</v>
          </cell>
        </row>
        <row r="8">
          <cell r="A8">
            <v>44135</v>
          </cell>
          <cell r="B8">
            <v>74</v>
          </cell>
          <cell r="C8">
            <v>58.8</v>
          </cell>
          <cell r="D8">
            <v>44819</v>
          </cell>
          <cell r="E8">
            <v>0.1</v>
          </cell>
          <cell r="F8">
            <v>103.01</v>
          </cell>
          <cell r="G8">
            <v>3152811.6</v>
          </cell>
          <cell r="H8">
            <v>121.6</v>
          </cell>
          <cell r="I8">
            <v>100.48569999999999</v>
          </cell>
        </row>
        <row r="9">
          <cell r="A9">
            <v>44104</v>
          </cell>
          <cell r="B9">
            <v>64</v>
          </cell>
          <cell r="C9">
            <v>55.7</v>
          </cell>
          <cell r="D9">
            <v>47820</v>
          </cell>
          <cell r="E9">
            <v>1</v>
          </cell>
          <cell r="F9">
            <v>103.42</v>
          </cell>
          <cell r="G9">
            <v>3115238.9</v>
          </cell>
          <cell r="H9">
            <v>120.9</v>
          </cell>
          <cell r="I9">
            <v>100.15560000000001</v>
          </cell>
        </row>
        <row r="10">
          <cell r="A10">
            <v>44074</v>
          </cell>
          <cell r="B10">
            <v>66</v>
          </cell>
          <cell r="C10">
            <v>55.6</v>
          </cell>
          <cell r="D10">
            <v>39469</v>
          </cell>
          <cell r="E10">
            <v>0.7</v>
          </cell>
          <cell r="F10">
            <v>103.22</v>
          </cell>
          <cell r="G10">
            <v>3100373.4</v>
          </cell>
          <cell r="H10">
            <v>120</v>
          </cell>
          <cell r="I10">
            <v>99.811530000000005</v>
          </cell>
        </row>
        <row r="11">
          <cell r="A11">
            <v>44043</v>
          </cell>
          <cell r="B11">
            <v>62</v>
          </cell>
          <cell r="C11">
            <v>53.7</v>
          </cell>
          <cell r="D11">
            <v>42785</v>
          </cell>
          <cell r="E11">
            <v>0.3</v>
          </cell>
          <cell r="F11">
            <v>102.71</v>
          </cell>
          <cell r="G11">
            <v>3093300.1</v>
          </cell>
          <cell r="H11">
            <v>119</v>
          </cell>
          <cell r="I11">
            <v>99.491810000000001</v>
          </cell>
        </row>
        <row r="12">
          <cell r="A12">
            <v>44012</v>
          </cell>
          <cell r="B12">
            <v>56</v>
          </cell>
          <cell r="C12">
            <v>52.2</v>
          </cell>
          <cell r="D12">
            <v>39214</v>
          </cell>
          <cell r="E12">
            <v>0</v>
          </cell>
          <cell r="F12">
            <v>102.48</v>
          </cell>
          <cell r="G12">
            <v>3077284.1</v>
          </cell>
          <cell r="H12">
            <v>118.3</v>
          </cell>
          <cell r="I12">
            <v>99.233530000000002</v>
          </cell>
        </row>
        <row r="13">
          <cell r="A13">
            <v>43982</v>
          </cell>
          <cell r="B13">
            <v>53</v>
          </cell>
          <cell r="C13">
            <v>43.1</v>
          </cell>
          <cell r="D13">
            <v>34855</v>
          </cell>
          <cell r="E13">
            <v>-0.3</v>
          </cell>
          <cell r="F13">
            <v>101.96</v>
          </cell>
          <cell r="G13">
            <v>3046050.5</v>
          </cell>
          <cell r="H13">
            <v>117.6</v>
          </cell>
          <cell r="I13">
            <v>99.070130000000006</v>
          </cell>
        </row>
        <row r="14">
          <cell r="A14">
            <v>43951</v>
          </cell>
          <cell r="B14">
            <v>51</v>
          </cell>
          <cell r="C14">
            <v>41.7</v>
          </cell>
          <cell r="D14">
            <v>36270</v>
          </cell>
          <cell r="E14">
            <v>0.1</v>
          </cell>
          <cell r="F14">
            <v>101.93</v>
          </cell>
          <cell r="G14">
            <v>3015816.4</v>
          </cell>
          <cell r="H14">
            <v>117.5</v>
          </cell>
          <cell r="I14">
            <v>99.004490000000004</v>
          </cell>
        </row>
        <row r="15">
          <cell r="A15">
            <v>43921</v>
          </cell>
          <cell r="B15">
            <v>54</v>
          </cell>
          <cell r="C15">
            <v>49.7</v>
          </cell>
          <cell r="D15">
            <v>46167</v>
          </cell>
          <cell r="E15">
            <v>1</v>
          </cell>
          <cell r="F15">
            <v>102.82</v>
          </cell>
          <cell r="G15">
            <v>2984304.3</v>
          </cell>
          <cell r="H15">
            <v>117.4</v>
          </cell>
          <cell r="I15">
            <v>98.997529999999998</v>
          </cell>
        </row>
        <row r="16">
          <cell r="A16">
            <v>43890</v>
          </cell>
          <cell r="B16">
            <v>65</v>
          </cell>
          <cell r="C16">
            <v>50.3</v>
          </cell>
          <cell r="D16">
            <v>40912</v>
          </cell>
          <cell r="E16">
            <v>1.1000000000000001</v>
          </cell>
          <cell r="F16">
            <v>103.74</v>
          </cell>
          <cell r="G16">
            <v>2954603.8</v>
          </cell>
          <cell r="H16">
            <v>117.7</v>
          </cell>
          <cell r="I16">
            <v>99.015950000000004</v>
          </cell>
        </row>
        <row r="17">
          <cell r="A17">
            <v>43861</v>
          </cell>
          <cell r="B17">
            <v>75</v>
          </cell>
          <cell r="C17">
            <v>51.1</v>
          </cell>
          <cell r="D17">
            <v>43103</v>
          </cell>
          <cell r="E17">
            <v>1.5</v>
          </cell>
          <cell r="F17">
            <v>104.08</v>
          </cell>
          <cell r="G17">
            <v>2929009.2</v>
          </cell>
          <cell r="H17">
            <v>117.5</v>
          </cell>
          <cell r="I17">
            <v>99.013009999999994</v>
          </cell>
        </row>
        <row r="18">
          <cell r="A18">
            <v>43830</v>
          </cell>
          <cell r="B18">
            <v>76</v>
          </cell>
          <cell r="C18">
            <v>47.7</v>
          </cell>
          <cell r="D18">
            <v>45668</v>
          </cell>
          <cell r="E18">
            <v>0.7</v>
          </cell>
          <cell r="F18">
            <v>103.7</v>
          </cell>
          <cell r="G18">
            <v>2912434.1</v>
          </cell>
          <cell r="H18">
            <v>117.1</v>
          </cell>
          <cell r="I18">
            <v>98.967290000000006</v>
          </cell>
        </row>
        <row r="19">
          <cell r="A19">
            <v>43799</v>
          </cell>
          <cell r="B19">
            <v>74</v>
          </cell>
          <cell r="C19">
            <v>48.2</v>
          </cell>
          <cell r="D19">
            <v>44041</v>
          </cell>
          <cell r="E19">
            <v>0.2</v>
          </cell>
          <cell r="F19">
            <v>103.41</v>
          </cell>
          <cell r="G19">
            <v>2901465.4</v>
          </cell>
          <cell r="H19">
            <v>116.3</v>
          </cell>
          <cell r="I19">
            <v>98.877799999999993</v>
          </cell>
        </row>
        <row r="20">
          <cell r="A20">
            <v>43769</v>
          </cell>
          <cell r="B20">
            <v>73</v>
          </cell>
          <cell r="C20">
            <v>48.3</v>
          </cell>
          <cell r="D20">
            <v>46649</v>
          </cell>
          <cell r="E20">
            <v>0</v>
          </cell>
          <cell r="F20">
            <v>103.56</v>
          </cell>
          <cell r="G20">
            <v>2874176.1</v>
          </cell>
          <cell r="H20">
            <v>115.6</v>
          </cell>
          <cell r="I20">
            <v>98.780140000000003</v>
          </cell>
        </row>
        <row r="21">
          <cell r="A21">
            <v>43738</v>
          </cell>
          <cell r="B21">
            <v>72</v>
          </cell>
          <cell r="C21">
            <v>48.3</v>
          </cell>
          <cell r="D21">
            <v>44629</v>
          </cell>
          <cell r="E21">
            <v>-0.4</v>
          </cell>
          <cell r="F21">
            <v>103.8</v>
          </cell>
          <cell r="G21">
            <v>2853272</v>
          </cell>
          <cell r="H21">
            <v>114.9</v>
          </cell>
          <cell r="I21">
            <v>98.713239999999999</v>
          </cell>
        </row>
        <row r="22">
          <cell r="A22">
            <v>43708</v>
          </cell>
          <cell r="B22">
            <v>69</v>
          </cell>
          <cell r="C22">
            <v>48.4</v>
          </cell>
          <cell r="D22">
            <v>44020</v>
          </cell>
          <cell r="E22">
            <v>0</v>
          </cell>
          <cell r="F22">
            <v>103.74</v>
          </cell>
          <cell r="G22">
            <v>2832566.1</v>
          </cell>
          <cell r="H22">
            <v>114.4</v>
          </cell>
          <cell r="I22">
            <v>98.69717</v>
          </cell>
        </row>
        <row r="23">
          <cell r="A23">
            <v>43677</v>
          </cell>
          <cell r="B23">
            <v>73</v>
          </cell>
          <cell r="C23">
            <v>51</v>
          </cell>
          <cell r="D23">
            <v>46078</v>
          </cell>
          <cell r="E23">
            <v>0.6</v>
          </cell>
          <cell r="F23">
            <v>103.5</v>
          </cell>
          <cell r="G23">
            <v>2811543.7</v>
          </cell>
          <cell r="H23">
            <v>114.1</v>
          </cell>
          <cell r="I23">
            <v>98.728030000000004</v>
          </cell>
        </row>
        <row r="24">
          <cell r="A24">
            <v>43646</v>
          </cell>
          <cell r="B24">
            <v>74</v>
          </cell>
          <cell r="C24">
            <v>51.3</v>
          </cell>
          <cell r="D24">
            <v>44008</v>
          </cell>
          <cell r="E24">
            <v>0.7</v>
          </cell>
          <cell r="F24">
            <v>103.5</v>
          </cell>
          <cell r="G24">
            <v>2799248</v>
          </cell>
          <cell r="H24">
            <v>114.1</v>
          </cell>
          <cell r="I24">
            <v>98.799850000000006</v>
          </cell>
        </row>
        <row r="25">
          <cell r="A25">
            <v>43616</v>
          </cell>
          <cell r="B25">
            <v>73</v>
          </cell>
          <cell r="C25">
            <v>52.2</v>
          </cell>
          <cell r="D25">
            <v>45704</v>
          </cell>
          <cell r="E25">
            <v>0.7</v>
          </cell>
          <cell r="F25">
            <v>103.79</v>
          </cell>
          <cell r="G25">
            <v>2771633</v>
          </cell>
          <cell r="H25">
            <v>114.1</v>
          </cell>
          <cell r="I25">
            <v>98.89658</v>
          </cell>
        </row>
        <row r="26">
          <cell r="A26">
            <v>43585</v>
          </cell>
          <cell r="B26">
            <v>74</v>
          </cell>
          <cell r="C26">
            <v>53.6</v>
          </cell>
          <cell r="D26">
            <v>48781</v>
          </cell>
          <cell r="E26">
            <v>0.6</v>
          </cell>
          <cell r="F26">
            <v>103.68</v>
          </cell>
          <cell r="G26">
            <v>2763058</v>
          </cell>
          <cell r="H26">
            <v>114</v>
          </cell>
          <cell r="I26">
            <v>99.019940000000005</v>
          </cell>
        </row>
        <row r="27">
          <cell r="A27">
            <v>43555</v>
          </cell>
          <cell r="B27">
            <v>73</v>
          </cell>
          <cell r="C27">
            <v>55.3</v>
          </cell>
          <cell r="D27">
            <v>47003</v>
          </cell>
          <cell r="E27">
            <v>0.4</v>
          </cell>
          <cell r="F27">
            <v>103.38</v>
          </cell>
          <cell r="G27">
            <v>2752723.9</v>
          </cell>
          <cell r="H27">
            <v>113.7</v>
          </cell>
          <cell r="I27">
            <v>99.149529999999999</v>
          </cell>
        </row>
        <row r="28">
          <cell r="A28">
            <v>43524</v>
          </cell>
          <cell r="B28">
            <v>69</v>
          </cell>
          <cell r="C28">
            <v>54.2</v>
          </cell>
          <cell r="D28">
            <v>39482</v>
          </cell>
          <cell r="E28">
            <v>0.5</v>
          </cell>
          <cell r="F28">
            <v>103.02</v>
          </cell>
          <cell r="G28">
            <v>2730481.9</v>
          </cell>
          <cell r="H28">
            <v>114.4</v>
          </cell>
          <cell r="I28">
            <v>99.258150000000001</v>
          </cell>
        </row>
        <row r="29">
          <cell r="A29">
            <v>43496</v>
          </cell>
          <cell r="B29">
            <v>69</v>
          </cell>
          <cell r="C29">
            <v>55.7</v>
          </cell>
          <cell r="D29">
            <v>46169</v>
          </cell>
          <cell r="E29">
            <v>0.8</v>
          </cell>
          <cell r="F29">
            <v>102.92</v>
          </cell>
          <cell r="G29">
            <v>2716722</v>
          </cell>
          <cell r="H29">
            <v>114.2</v>
          </cell>
          <cell r="I29">
            <v>99.345849999999999</v>
          </cell>
        </row>
        <row r="30">
          <cell r="A30">
            <v>43465</v>
          </cell>
          <cell r="B30">
            <v>72</v>
          </cell>
          <cell r="C30">
            <v>54.8</v>
          </cell>
          <cell r="D30">
            <v>48207</v>
          </cell>
          <cell r="E30">
            <v>1.3</v>
          </cell>
          <cell r="F30">
            <v>103.03</v>
          </cell>
          <cell r="G30">
            <v>2699882.3</v>
          </cell>
          <cell r="H30">
            <v>114</v>
          </cell>
          <cell r="I30">
            <v>99.424999999999997</v>
          </cell>
        </row>
        <row r="31">
          <cell r="A31">
            <v>43434</v>
          </cell>
          <cell r="B31">
            <v>74</v>
          </cell>
          <cell r="C31">
            <v>58.7</v>
          </cell>
          <cell r="D31">
            <v>51480</v>
          </cell>
          <cell r="E31">
            <v>2</v>
          </cell>
          <cell r="F31">
            <v>103.53</v>
          </cell>
          <cell r="G31">
            <v>2692974.8</v>
          </cell>
          <cell r="H31">
            <v>114</v>
          </cell>
          <cell r="I31">
            <v>99.50009</v>
          </cell>
        </row>
        <row r="32">
          <cell r="A32">
            <v>43404</v>
          </cell>
          <cell r="B32">
            <v>73</v>
          </cell>
          <cell r="C32">
            <v>58.3</v>
          </cell>
          <cell r="D32">
            <v>54860</v>
          </cell>
          <cell r="E32">
            <v>2</v>
          </cell>
          <cell r="F32">
            <v>104.26</v>
          </cell>
          <cell r="G32">
            <v>2674506.5</v>
          </cell>
          <cell r="H32">
            <v>113.9</v>
          </cell>
          <cell r="I32">
            <v>99.575670000000002</v>
          </cell>
        </row>
        <row r="33">
          <cell r="A33">
            <v>43373</v>
          </cell>
          <cell r="B33">
            <v>75</v>
          </cell>
          <cell r="C33">
            <v>59.5</v>
          </cell>
          <cell r="D33">
            <v>50650</v>
          </cell>
          <cell r="E33">
            <v>2.1</v>
          </cell>
          <cell r="F33">
            <v>104.62</v>
          </cell>
          <cell r="G33">
            <v>2652829.5</v>
          </cell>
          <cell r="H33">
            <v>113.8</v>
          </cell>
          <cell r="I33">
            <v>99.647499999999994</v>
          </cell>
        </row>
        <row r="34">
          <cell r="A34">
            <v>43343</v>
          </cell>
          <cell r="B34">
            <v>74</v>
          </cell>
          <cell r="C34">
            <v>60.4</v>
          </cell>
          <cell r="D34">
            <v>51180</v>
          </cell>
          <cell r="E34">
            <v>1.4</v>
          </cell>
          <cell r="F34">
            <v>104.32</v>
          </cell>
          <cell r="G34">
            <v>2651503.4</v>
          </cell>
          <cell r="H34">
            <v>113.6</v>
          </cell>
          <cell r="I34">
            <v>99.710849999999994</v>
          </cell>
        </row>
        <row r="35">
          <cell r="A35">
            <v>43312</v>
          </cell>
          <cell r="B35">
            <v>75</v>
          </cell>
          <cell r="C35">
            <v>58</v>
          </cell>
          <cell r="D35">
            <v>51810</v>
          </cell>
          <cell r="E35">
            <v>1.1000000000000001</v>
          </cell>
          <cell r="F35">
            <v>103.85</v>
          </cell>
          <cell r="G35">
            <v>2637421.7999999998</v>
          </cell>
          <cell r="H35">
            <v>113.7</v>
          </cell>
          <cell r="I35">
            <v>99.775989999999993</v>
          </cell>
        </row>
        <row r="36">
          <cell r="A36">
            <v>43281</v>
          </cell>
          <cell r="B36">
            <v>80</v>
          </cell>
          <cell r="C36">
            <v>59.7</v>
          </cell>
          <cell r="D36">
            <v>51079</v>
          </cell>
          <cell r="E36">
            <v>1.5</v>
          </cell>
          <cell r="F36">
            <v>103.37</v>
          </cell>
          <cell r="G36">
            <v>2622268.2999999998</v>
          </cell>
          <cell r="H36">
            <v>113.5</v>
          </cell>
          <cell r="I36">
            <v>99.858630000000005</v>
          </cell>
        </row>
        <row r="37">
          <cell r="A37">
            <v>43251</v>
          </cell>
          <cell r="B37">
            <v>81</v>
          </cell>
          <cell r="C37">
            <v>58.9</v>
          </cell>
          <cell r="D37">
            <v>50688</v>
          </cell>
          <cell r="E37">
            <v>1.5</v>
          </cell>
          <cell r="F37">
            <v>103.34</v>
          </cell>
          <cell r="G37">
            <v>2600274.2999999998</v>
          </cell>
          <cell r="H37">
            <v>113.2</v>
          </cell>
          <cell r="I37">
            <v>99.962559999999996</v>
          </cell>
        </row>
        <row r="38">
          <cell r="A38">
            <v>43220</v>
          </cell>
          <cell r="B38">
            <v>79</v>
          </cell>
          <cell r="C38">
            <v>58.6</v>
          </cell>
          <cell r="D38">
            <v>49850</v>
          </cell>
          <cell r="E38">
            <v>1.5</v>
          </cell>
          <cell r="F38">
            <v>103.04</v>
          </cell>
          <cell r="G38">
            <v>2590840.7000000002</v>
          </cell>
          <cell r="H38">
            <v>112.7</v>
          </cell>
          <cell r="I38">
            <v>100.0782</v>
          </cell>
        </row>
        <row r="39">
          <cell r="A39">
            <v>43190</v>
          </cell>
          <cell r="B39">
            <v>77</v>
          </cell>
          <cell r="C39">
            <v>59.2</v>
          </cell>
          <cell r="D39">
            <v>51310</v>
          </cell>
          <cell r="E39">
            <v>1.2</v>
          </cell>
          <cell r="F39">
            <v>102.91</v>
          </cell>
          <cell r="G39">
            <v>2578361.7999999998</v>
          </cell>
          <cell r="H39">
            <v>112.7</v>
          </cell>
          <cell r="I39">
            <v>100.2167</v>
          </cell>
        </row>
        <row r="40">
          <cell r="A40">
            <v>43159</v>
          </cell>
          <cell r="B40">
            <v>77</v>
          </cell>
          <cell r="C40">
            <v>60.8</v>
          </cell>
          <cell r="D40">
            <v>44524</v>
          </cell>
          <cell r="E40">
            <v>1.3</v>
          </cell>
          <cell r="F40">
            <v>102.95</v>
          </cell>
          <cell r="G40">
            <v>2570764.6</v>
          </cell>
          <cell r="H40">
            <v>112.5</v>
          </cell>
          <cell r="I40">
            <v>100.38500000000001</v>
          </cell>
        </row>
        <row r="41">
          <cell r="A41">
            <v>43131</v>
          </cell>
          <cell r="B41">
            <v>78</v>
          </cell>
          <cell r="C41">
            <v>59.4</v>
          </cell>
          <cell r="D41">
            <v>49221</v>
          </cell>
          <cell r="E41">
            <v>0.8</v>
          </cell>
          <cell r="F41">
            <v>102.52</v>
          </cell>
          <cell r="G41">
            <v>2551196</v>
          </cell>
          <cell r="H41">
            <v>111.7</v>
          </cell>
          <cell r="I41">
            <v>100.57689999999999</v>
          </cell>
        </row>
        <row r="42">
          <cell r="A42">
            <v>43100</v>
          </cell>
          <cell r="B42">
            <v>81</v>
          </cell>
          <cell r="C42">
            <v>59.2</v>
          </cell>
          <cell r="D42">
            <v>49040</v>
          </cell>
          <cell r="E42">
            <v>1.4</v>
          </cell>
          <cell r="F42">
            <v>102.09</v>
          </cell>
          <cell r="G42">
            <v>2527641.2999999998</v>
          </cell>
          <cell r="H42">
            <v>111.4</v>
          </cell>
          <cell r="I42">
            <v>100.79940000000001</v>
          </cell>
        </row>
        <row r="43">
          <cell r="A43">
            <v>43069</v>
          </cell>
          <cell r="B43">
            <v>80</v>
          </cell>
          <cell r="C43">
            <v>57.9</v>
          </cell>
          <cell r="D43">
            <v>49707</v>
          </cell>
          <cell r="E43">
            <v>1.2</v>
          </cell>
          <cell r="F43">
            <v>102.04</v>
          </cell>
          <cell r="G43">
            <v>2521786.2999999998</v>
          </cell>
          <cell r="H43">
            <v>111.2</v>
          </cell>
          <cell r="I43">
            <v>101.0373</v>
          </cell>
        </row>
        <row r="44">
          <cell r="A44">
            <v>43039</v>
          </cell>
          <cell r="B44">
            <v>78</v>
          </cell>
          <cell r="C44">
            <v>58.6</v>
          </cell>
          <cell r="D44">
            <v>44791</v>
          </cell>
          <cell r="E44">
            <v>1.8</v>
          </cell>
          <cell r="F44">
            <v>102.14</v>
          </cell>
          <cell r="G44">
            <v>2504594.2000000002</v>
          </cell>
          <cell r="H44">
            <v>110.8</v>
          </cell>
          <cell r="I44">
            <v>101.24809999999999</v>
          </cell>
        </row>
        <row r="45">
          <cell r="A45">
            <v>43008</v>
          </cell>
          <cell r="B45">
            <v>81</v>
          </cell>
          <cell r="C45">
            <v>59.9</v>
          </cell>
          <cell r="D45">
            <v>55115</v>
          </cell>
          <cell r="E45">
            <v>2</v>
          </cell>
          <cell r="F45">
            <v>102.03</v>
          </cell>
          <cell r="G45">
            <v>2492388.2000000002</v>
          </cell>
          <cell r="H45">
            <v>110.4</v>
          </cell>
          <cell r="I45">
            <v>101.41889999999999</v>
          </cell>
        </row>
        <row r="46">
          <cell r="A46">
            <v>42978</v>
          </cell>
          <cell r="B46">
            <v>77</v>
          </cell>
          <cell r="C46">
            <v>58.5</v>
          </cell>
          <cell r="D46">
            <v>47106</v>
          </cell>
          <cell r="E46">
            <v>2.5</v>
          </cell>
          <cell r="F46">
            <v>101.35</v>
          </cell>
          <cell r="G46">
            <v>2485629.9</v>
          </cell>
          <cell r="H46">
            <v>110.3</v>
          </cell>
          <cell r="I46">
            <v>101.5577</v>
          </cell>
        </row>
        <row r="47">
          <cell r="A47">
            <v>42947</v>
          </cell>
          <cell r="B47">
            <v>78</v>
          </cell>
          <cell r="C47">
            <v>56.5</v>
          </cell>
          <cell r="D47">
            <v>48830</v>
          </cell>
          <cell r="E47">
            <v>2.2000000000000002</v>
          </cell>
          <cell r="F47">
            <v>100.89</v>
          </cell>
          <cell r="G47">
            <v>2472110.4</v>
          </cell>
          <cell r="H47">
            <v>109.9</v>
          </cell>
          <cell r="I47">
            <v>101.6675</v>
          </cell>
        </row>
        <row r="48">
          <cell r="A48">
            <v>42916</v>
          </cell>
          <cell r="B48">
            <v>77</v>
          </cell>
          <cell r="C48">
            <v>56.1</v>
          </cell>
          <cell r="D48">
            <v>51272</v>
          </cell>
          <cell r="E48">
            <v>1.8</v>
          </cell>
          <cell r="F48">
            <v>100.81</v>
          </cell>
          <cell r="G48">
            <v>2470861.1</v>
          </cell>
          <cell r="H48">
            <v>109.4</v>
          </cell>
          <cell r="I48">
            <v>101.7499</v>
          </cell>
        </row>
        <row r="49">
          <cell r="A49">
            <v>42886</v>
          </cell>
          <cell r="B49">
            <v>80</v>
          </cell>
          <cell r="C49">
            <v>56.4</v>
          </cell>
          <cell r="D49">
            <v>44927</v>
          </cell>
          <cell r="E49">
            <v>2</v>
          </cell>
          <cell r="F49">
            <v>101.21</v>
          </cell>
          <cell r="G49">
            <v>2454386.7000000002</v>
          </cell>
          <cell r="H49">
            <v>108.7</v>
          </cell>
          <cell r="I49">
            <v>101.8047</v>
          </cell>
        </row>
        <row r="50">
          <cell r="A50">
            <v>42855</v>
          </cell>
          <cell r="B50">
            <v>80</v>
          </cell>
          <cell r="C50">
            <v>55.7</v>
          </cell>
          <cell r="D50">
            <v>50844</v>
          </cell>
          <cell r="E50">
            <v>2</v>
          </cell>
          <cell r="F50">
            <v>101.48</v>
          </cell>
          <cell r="G50">
            <v>2450220.9</v>
          </cell>
          <cell r="H50">
            <v>108.1</v>
          </cell>
          <cell r="I50">
            <v>101.83150000000001</v>
          </cell>
        </row>
        <row r="51">
          <cell r="A51">
            <v>42825</v>
          </cell>
          <cell r="B51">
            <v>78</v>
          </cell>
          <cell r="C51">
            <v>56.8</v>
          </cell>
          <cell r="D51">
            <v>48638</v>
          </cell>
          <cell r="E51">
            <v>2.2999999999999998</v>
          </cell>
          <cell r="F51">
            <v>101.7</v>
          </cell>
          <cell r="G51">
            <v>2436994.7000000002</v>
          </cell>
          <cell r="H51">
            <v>107.6</v>
          </cell>
          <cell r="I51">
            <v>101.8165</v>
          </cell>
        </row>
        <row r="52">
          <cell r="A52">
            <v>42794</v>
          </cell>
          <cell r="B52">
            <v>74</v>
          </cell>
          <cell r="C52">
            <v>57.7</v>
          </cell>
          <cell r="D52">
            <v>43167</v>
          </cell>
          <cell r="E52">
            <v>2.1</v>
          </cell>
          <cell r="F52">
            <v>101.74</v>
          </cell>
          <cell r="G52">
            <v>2420285.6</v>
          </cell>
          <cell r="H52">
            <v>107.3</v>
          </cell>
          <cell r="I52">
            <v>101.7585</v>
          </cell>
        </row>
        <row r="53">
          <cell r="A53">
            <v>42766</v>
          </cell>
          <cell r="B53">
            <v>74</v>
          </cell>
          <cell r="C53">
            <v>55.7</v>
          </cell>
          <cell r="D53">
            <v>40257</v>
          </cell>
          <cell r="E53">
            <v>2.2000000000000002</v>
          </cell>
          <cell r="F53">
            <v>101.35</v>
          </cell>
          <cell r="G53">
            <v>2417807.6</v>
          </cell>
          <cell r="H53">
            <v>106.8</v>
          </cell>
          <cell r="I53">
            <v>101.66330000000001</v>
          </cell>
        </row>
        <row r="54">
          <cell r="A54">
            <v>42735</v>
          </cell>
          <cell r="B54">
            <v>73</v>
          </cell>
          <cell r="C54">
            <v>54.2</v>
          </cell>
          <cell r="D54">
            <v>45069</v>
          </cell>
          <cell r="E54">
            <v>1.3</v>
          </cell>
          <cell r="F54">
            <v>99.9</v>
          </cell>
          <cell r="G54">
            <v>2414040.9</v>
          </cell>
          <cell r="H54">
            <v>106.4</v>
          </cell>
          <cell r="I54">
            <v>101.5458</v>
          </cell>
        </row>
        <row r="55">
          <cell r="A55">
            <v>42704</v>
          </cell>
          <cell r="B55">
            <v>73</v>
          </cell>
          <cell r="C55">
            <v>53.3</v>
          </cell>
          <cell r="D55">
            <v>45309</v>
          </cell>
          <cell r="E55">
            <v>1.5</v>
          </cell>
          <cell r="F55">
            <v>99.03</v>
          </cell>
          <cell r="G55">
            <v>2406393.5</v>
          </cell>
          <cell r="H55">
            <v>105.8</v>
          </cell>
          <cell r="I55">
            <v>101.4204</v>
          </cell>
        </row>
        <row r="56">
          <cell r="A56">
            <v>42674</v>
          </cell>
          <cell r="B56">
            <v>71</v>
          </cell>
          <cell r="C56">
            <v>51.8</v>
          </cell>
          <cell r="D56">
            <v>41983</v>
          </cell>
          <cell r="E56">
            <v>1.5</v>
          </cell>
          <cell r="F56">
            <v>98.59</v>
          </cell>
          <cell r="G56">
            <v>2391059.2000000002</v>
          </cell>
          <cell r="H56">
            <v>105.4</v>
          </cell>
          <cell r="I56">
            <v>101.2927</v>
          </cell>
        </row>
        <row r="57">
          <cell r="A57">
            <v>42643</v>
          </cell>
          <cell r="B57">
            <v>72</v>
          </cell>
          <cell r="C57">
            <v>51</v>
          </cell>
          <cell r="D57">
            <v>40846</v>
          </cell>
          <cell r="E57">
            <v>1.3</v>
          </cell>
          <cell r="F57">
            <v>98.3</v>
          </cell>
          <cell r="G57">
            <v>2383040.5</v>
          </cell>
          <cell r="H57">
            <v>104.9</v>
          </cell>
          <cell r="I57">
            <v>101.1567</v>
          </cell>
        </row>
        <row r="58">
          <cell r="A58">
            <v>42613</v>
          </cell>
          <cell r="B58">
            <v>72</v>
          </cell>
          <cell r="C58">
            <v>49.7</v>
          </cell>
          <cell r="D58">
            <v>40125</v>
          </cell>
          <cell r="E58">
            <v>0.5</v>
          </cell>
          <cell r="F58">
            <v>98.07</v>
          </cell>
          <cell r="G58">
            <v>2377323.1</v>
          </cell>
          <cell r="H58">
            <v>104.3</v>
          </cell>
          <cell r="I58">
            <v>100.99890000000001</v>
          </cell>
        </row>
        <row r="59">
          <cell r="A59">
            <v>42582</v>
          </cell>
          <cell r="B59">
            <v>71</v>
          </cell>
          <cell r="C59">
            <v>52.4</v>
          </cell>
          <cell r="D59">
            <v>40882</v>
          </cell>
          <cell r="E59">
            <v>0.4</v>
          </cell>
          <cell r="F59">
            <v>97.98</v>
          </cell>
          <cell r="G59">
            <v>2352245.1</v>
          </cell>
          <cell r="H59">
            <v>103.8</v>
          </cell>
          <cell r="I59">
            <v>100.8364</v>
          </cell>
        </row>
        <row r="60">
          <cell r="A60">
            <v>42551</v>
          </cell>
          <cell r="B60">
            <v>71</v>
          </cell>
          <cell r="C60">
            <v>52.4</v>
          </cell>
          <cell r="D60">
            <v>45209</v>
          </cell>
          <cell r="E60">
            <v>0.7</v>
          </cell>
          <cell r="F60">
            <v>98.09</v>
          </cell>
          <cell r="G60">
            <v>2334256.2000000002</v>
          </cell>
          <cell r="H60">
            <v>103.3</v>
          </cell>
          <cell r="I60">
            <v>100.6968</v>
          </cell>
        </row>
        <row r="61">
          <cell r="A61">
            <v>42521</v>
          </cell>
          <cell r="B61">
            <v>71</v>
          </cell>
          <cell r="C61">
            <v>51.3</v>
          </cell>
          <cell r="D61">
            <v>39734</v>
          </cell>
          <cell r="E61">
            <v>0.8</v>
          </cell>
          <cell r="F61">
            <v>97.86</v>
          </cell>
          <cell r="G61">
            <v>2312801.2000000002</v>
          </cell>
          <cell r="H61">
            <v>103</v>
          </cell>
          <cell r="I61">
            <v>100.5919</v>
          </cell>
        </row>
        <row r="62">
          <cell r="A62">
            <v>42490</v>
          </cell>
          <cell r="B62">
            <v>70</v>
          </cell>
          <cell r="C62">
            <v>51</v>
          </cell>
          <cell r="D62">
            <v>41082</v>
          </cell>
          <cell r="E62">
            <v>1</v>
          </cell>
          <cell r="F62">
            <v>97.74</v>
          </cell>
          <cell r="G62">
            <v>2299081.2999999998</v>
          </cell>
          <cell r="H62">
            <v>102.6</v>
          </cell>
          <cell r="I62" t="e">
            <v>#N/A</v>
          </cell>
        </row>
        <row r="63">
          <cell r="A63">
            <v>42460</v>
          </cell>
          <cell r="B63">
            <v>68</v>
          </cell>
          <cell r="C63">
            <v>51.4</v>
          </cell>
          <cell r="D63">
            <v>43002</v>
          </cell>
          <cell r="E63">
            <v>0.8</v>
          </cell>
          <cell r="F63">
            <v>97.5</v>
          </cell>
          <cell r="G63">
            <v>2294544.7000000002</v>
          </cell>
          <cell r="H63">
            <v>102.2</v>
          </cell>
          <cell r="I63" t="e">
            <v>#N/A</v>
          </cell>
        </row>
        <row r="64">
          <cell r="A64">
            <v>42429</v>
          </cell>
          <cell r="B64">
            <v>63</v>
          </cell>
          <cell r="C64">
            <v>49.2</v>
          </cell>
          <cell r="D64">
            <v>35925</v>
          </cell>
          <cell r="E64">
            <v>1.1000000000000001</v>
          </cell>
          <cell r="F64">
            <v>97.56</v>
          </cell>
          <cell r="G64">
            <v>2285313.5</v>
          </cell>
          <cell r="H64">
            <v>102</v>
          </cell>
          <cell r="I64" t="e">
            <v>#N/A</v>
          </cell>
        </row>
        <row r="65">
          <cell r="A65">
            <v>42400</v>
          </cell>
          <cell r="B65">
            <v>67</v>
          </cell>
          <cell r="C65">
            <v>47.5</v>
          </cell>
          <cell r="D65">
            <v>36260</v>
          </cell>
          <cell r="E65">
            <v>0.6</v>
          </cell>
          <cell r="F65">
            <v>97.56</v>
          </cell>
          <cell r="G65">
            <v>2261356.4</v>
          </cell>
          <cell r="H65">
            <v>102</v>
          </cell>
          <cell r="I65" t="e">
            <v>#N/A</v>
          </cell>
        </row>
        <row r="66">
          <cell r="A66">
            <v>42369</v>
          </cell>
          <cell r="B66">
            <v>69</v>
          </cell>
          <cell r="C66">
            <v>48.8</v>
          </cell>
          <cell r="D66">
            <v>42380</v>
          </cell>
          <cell r="E66">
            <v>1.1000000000000001</v>
          </cell>
          <cell r="F66">
            <v>98.09</v>
          </cell>
          <cell r="G66">
            <v>2246070.1</v>
          </cell>
          <cell r="H66">
            <v>102</v>
          </cell>
          <cell r="I66" t="e">
            <v>#N/A</v>
          </cell>
        </row>
        <row r="67">
          <cell r="A67">
            <v>42338</v>
          </cell>
          <cell r="B67">
            <v>69</v>
          </cell>
          <cell r="C67">
            <v>49.1</v>
          </cell>
          <cell r="D67">
            <v>44285</v>
          </cell>
          <cell r="E67">
            <v>0.8</v>
          </cell>
          <cell r="F67">
            <v>98.32</v>
          </cell>
          <cell r="G67">
            <v>2242848.2000000002</v>
          </cell>
          <cell r="H67">
            <v>101.9</v>
          </cell>
          <cell r="I67" t="e">
            <v>#N/A</v>
          </cell>
        </row>
        <row r="68">
          <cell r="A68">
            <v>42308</v>
          </cell>
          <cell r="B68">
            <v>73</v>
          </cell>
          <cell r="C68">
            <v>49</v>
          </cell>
          <cell r="D68">
            <v>43352</v>
          </cell>
          <cell r="E68">
            <v>0.8</v>
          </cell>
          <cell r="F68">
            <v>98.71</v>
          </cell>
          <cell r="G68">
            <v>2232432</v>
          </cell>
          <cell r="H68">
            <v>101.5</v>
          </cell>
          <cell r="I68" t="e">
            <v>#N/A</v>
          </cell>
        </row>
        <row r="69">
          <cell r="A69">
            <v>42277</v>
          </cell>
          <cell r="B69">
            <v>69</v>
          </cell>
          <cell r="C69">
            <v>50</v>
          </cell>
          <cell r="D69">
            <v>43432</v>
          </cell>
          <cell r="E69">
            <v>0.5</v>
          </cell>
          <cell r="F69">
            <v>99.39</v>
          </cell>
          <cell r="G69">
            <v>2230000.7000000002</v>
          </cell>
          <cell r="H69">
            <v>101.1</v>
          </cell>
          <cell r="I69" t="e">
            <v>#N/A</v>
          </cell>
        </row>
        <row r="70">
          <cell r="A70">
            <v>42247</v>
          </cell>
          <cell r="B70">
            <v>69</v>
          </cell>
          <cell r="C70">
            <v>50</v>
          </cell>
          <cell r="D70">
            <v>39107</v>
          </cell>
          <cell r="E70">
            <v>0.7</v>
          </cell>
          <cell r="F70">
            <v>99.83</v>
          </cell>
          <cell r="G70">
            <v>2218660.2999999998</v>
          </cell>
          <cell r="H70">
            <v>100.5</v>
          </cell>
          <cell r="I70" t="e">
            <v>#N/A</v>
          </cell>
        </row>
        <row r="71">
          <cell r="A71">
            <v>42216</v>
          </cell>
          <cell r="B71">
            <v>70</v>
          </cell>
          <cell r="C71">
            <v>51.9</v>
          </cell>
          <cell r="D71">
            <v>45696</v>
          </cell>
          <cell r="E71">
            <v>0.7</v>
          </cell>
          <cell r="F71">
            <v>100.45</v>
          </cell>
          <cell r="G71">
            <v>2200510.9</v>
          </cell>
          <cell r="H71">
            <v>100.1</v>
          </cell>
          <cell r="I71" t="e">
            <v>#N/A</v>
          </cell>
        </row>
        <row r="72">
          <cell r="A72">
            <v>42185</v>
          </cell>
          <cell r="B72">
            <v>66</v>
          </cell>
          <cell r="C72">
            <v>52.6</v>
          </cell>
          <cell r="D72">
            <v>46555</v>
          </cell>
          <cell r="E72">
            <v>0.7</v>
          </cell>
          <cell r="F72">
            <v>100.82</v>
          </cell>
          <cell r="G72">
            <v>2179561.1</v>
          </cell>
          <cell r="H72">
            <v>99.9</v>
          </cell>
          <cell r="I72" t="e">
            <v>#N/A</v>
          </cell>
        </row>
        <row r="73">
          <cell r="A73">
            <v>42155</v>
          </cell>
          <cell r="B73">
            <v>75</v>
          </cell>
          <cell r="C73">
            <v>52.7</v>
          </cell>
          <cell r="D73">
            <v>42327</v>
          </cell>
          <cell r="E73">
            <v>0.6</v>
          </cell>
          <cell r="F73">
            <v>100.87</v>
          </cell>
          <cell r="G73">
            <v>2166741.1</v>
          </cell>
          <cell r="H73">
            <v>99.6</v>
          </cell>
          <cell r="I73" t="e">
            <v>#N/A</v>
          </cell>
        </row>
        <row r="74">
          <cell r="A74">
            <v>42124</v>
          </cell>
          <cell r="B74">
            <v>78</v>
          </cell>
          <cell r="C74">
            <v>52.1</v>
          </cell>
          <cell r="D74">
            <v>46222</v>
          </cell>
          <cell r="E74">
            <v>0.4</v>
          </cell>
          <cell r="F74">
            <v>100.8</v>
          </cell>
          <cell r="G74">
            <v>2148114.7000000002</v>
          </cell>
          <cell r="H74">
            <v>99</v>
          </cell>
          <cell r="I74" t="e">
            <v>#N/A</v>
          </cell>
        </row>
        <row r="75">
          <cell r="A75">
            <v>42094</v>
          </cell>
          <cell r="B75">
            <v>74</v>
          </cell>
          <cell r="C75">
            <v>52.3</v>
          </cell>
          <cell r="D75">
            <v>46823</v>
          </cell>
          <cell r="E75">
            <v>0.5</v>
          </cell>
          <cell r="F75">
            <v>100.84</v>
          </cell>
          <cell r="G75">
            <v>2127887.7999999998</v>
          </cell>
          <cell r="H75">
            <v>98.6</v>
          </cell>
          <cell r="I75" t="e">
            <v>#N/A</v>
          </cell>
        </row>
        <row r="76">
          <cell r="A76">
            <v>42063</v>
          </cell>
          <cell r="B76">
            <v>71</v>
          </cell>
          <cell r="C76">
            <v>53.1</v>
          </cell>
          <cell r="D76">
            <v>41472</v>
          </cell>
          <cell r="E76">
            <v>0.6</v>
          </cell>
          <cell r="F76">
            <v>100.96</v>
          </cell>
          <cell r="G76">
            <v>2109892.2999999998</v>
          </cell>
          <cell r="H76">
            <v>98.2</v>
          </cell>
          <cell r="I76" t="e">
            <v>#N/A</v>
          </cell>
        </row>
        <row r="77">
          <cell r="A77">
            <v>42035</v>
          </cell>
          <cell r="B77">
            <v>71</v>
          </cell>
          <cell r="C77">
            <v>54</v>
          </cell>
          <cell r="D77">
            <v>45105</v>
          </cell>
          <cell r="E77">
            <v>1</v>
          </cell>
          <cell r="F77">
            <v>100.89</v>
          </cell>
          <cell r="G77">
            <v>2092223.5</v>
          </cell>
          <cell r="H77">
            <v>97.8</v>
          </cell>
          <cell r="I77" t="e">
            <v>#N/A</v>
          </cell>
        </row>
        <row r="78">
          <cell r="A78">
            <v>42004</v>
          </cell>
          <cell r="B78">
            <v>71</v>
          </cell>
          <cell r="C78">
            <v>55.7</v>
          </cell>
          <cell r="D78">
            <v>49704</v>
          </cell>
          <cell r="E78">
            <v>0.8</v>
          </cell>
          <cell r="F78">
            <v>102.14</v>
          </cell>
          <cell r="G78">
            <v>2088729.8</v>
          </cell>
          <cell r="H78">
            <v>97.3</v>
          </cell>
          <cell r="I78" t="e">
            <v>#N/A</v>
          </cell>
        </row>
        <row r="79">
          <cell r="A79">
            <v>41973</v>
          </cell>
          <cell r="B79">
            <v>71</v>
          </cell>
          <cell r="C79">
            <v>56.3</v>
          </cell>
          <cell r="D79">
            <v>46759</v>
          </cell>
          <cell r="E79">
            <v>1</v>
          </cell>
          <cell r="F79">
            <v>103.15</v>
          </cell>
          <cell r="G79">
            <v>2083253.5</v>
          </cell>
          <cell r="H79">
            <v>97</v>
          </cell>
          <cell r="I79" t="e">
            <v>#N/A</v>
          </cell>
        </row>
        <row r="80">
          <cell r="A80">
            <v>41943</v>
          </cell>
          <cell r="B80">
            <v>69</v>
          </cell>
          <cell r="C80">
            <v>56.2</v>
          </cell>
          <cell r="D80">
            <v>51643</v>
          </cell>
          <cell r="E80">
            <v>1.1000000000000001</v>
          </cell>
          <cell r="F80">
            <v>103.47</v>
          </cell>
          <cell r="G80">
            <v>2051149.8</v>
          </cell>
          <cell r="H80">
            <v>96.7</v>
          </cell>
          <cell r="I80" t="e">
            <v>#N/A</v>
          </cell>
        </row>
        <row r="81">
          <cell r="A81">
            <v>41912</v>
          </cell>
          <cell r="B81">
            <v>72</v>
          </cell>
          <cell r="C81">
            <v>55.7</v>
          </cell>
          <cell r="D81">
            <v>47448</v>
          </cell>
          <cell r="E81">
            <v>1.1000000000000001</v>
          </cell>
          <cell r="F81">
            <v>104.2</v>
          </cell>
          <cell r="G81">
            <v>2037600.8</v>
          </cell>
          <cell r="H81">
            <v>96.3</v>
          </cell>
          <cell r="I81" t="e">
            <v>#N/A</v>
          </cell>
        </row>
        <row r="82">
          <cell r="A82">
            <v>41882</v>
          </cell>
          <cell r="B82">
            <v>70</v>
          </cell>
          <cell r="C82">
            <v>56.3</v>
          </cell>
          <cell r="D82">
            <v>46116</v>
          </cell>
          <cell r="E82">
            <v>1.4</v>
          </cell>
          <cell r="F82">
            <v>104.58</v>
          </cell>
          <cell r="G82">
            <v>2031777.2</v>
          </cell>
          <cell r="H82">
            <v>95.8</v>
          </cell>
          <cell r="I82" t="e">
            <v>#N/A</v>
          </cell>
        </row>
        <row r="83">
          <cell r="A83">
            <v>41851</v>
          </cell>
          <cell r="B83">
            <v>70</v>
          </cell>
          <cell r="C83">
            <v>55.1</v>
          </cell>
          <cell r="D83">
            <v>48207</v>
          </cell>
          <cell r="E83">
            <v>1.6</v>
          </cell>
          <cell r="F83">
            <v>104.69</v>
          </cell>
          <cell r="G83">
            <v>2013935.1</v>
          </cell>
          <cell r="H83">
            <v>95.4</v>
          </cell>
          <cell r="I83" t="e">
            <v>#N/A</v>
          </cell>
        </row>
        <row r="84">
          <cell r="A84">
            <v>41820</v>
          </cell>
          <cell r="B84">
            <v>71</v>
          </cell>
          <cell r="C84">
            <v>55</v>
          </cell>
          <cell r="D84">
            <v>47828</v>
          </cell>
          <cell r="E84">
            <v>1.7</v>
          </cell>
          <cell r="F84">
            <v>104.61</v>
          </cell>
          <cell r="G84">
            <v>1999376.3</v>
          </cell>
          <cell r="H84">
            <v>95.2</v>
          </cell>
          <cell r="I84" t="e">
            <v>#N/A</v>
          </cell>
        </row>
        <row r="85">
          <cell r="A85">
            <v>41790</v>
          </cell>
          <cell r="B85">
            <v>74</v>
          </cell>
          <cell r="C85">
            <v>55.7</v>
          </cell>
          <cell r="D85">
            <v>47578</v>
          </cell>
          <cell r="E85">
            <v>1.7</v>
          </cell>
          <cell r="F85">
            <v>104.56</v>
          </cell>
          <cell r="G85">
            <v>1982390.9</v>
          </cell>
          <cell r="H85">
            <v>95</v>
          </cell>
          <cell r="I85" t="e">
            <v>#N/A</v>
          </cell>
        </row>
        <row r="86">
          <cell r="A86">
            <v>41759</v>
          </cell>
          <cell r="B86">
            <v>77</v>
          </cell>
          <cell r="C86">
            <v>56.6</v>
          </cell>
          <cell r="D86">
            <v>50267</v>
          </cell>
          <cell r="E86">
            <v>1.5</v>
          </cell>
          <cell r="F86">
            <v>104.58</v>
          </cell>
          <cell r="G86">
            <v>1970361.6</v>
          </cell>
          <cell r="H86">
            <v>94.7</v>
          </cell>
          <cell r="I86" t="e">
            <v>#N/A</v>
          </cell>
        </row>
        <row r="87">
          <cell r="A87">
            <v>41729</v>
          </cell>
          <cell r="B87">
            <v>75</v>
          </cell>
          <cell r="C87">
            <v>55.9</v>
          </cell>
          <cell r="D87">
            <v>49066</v>
          </cell>
          <cell r="E87">
            <v>1.3</v>
          </cell>
          <cell r="F87">
            <v>104.74</v>
          </cell>
          <cell r="G87">
            <v>1964954</v>
          </cell>
          <cell r="H87">
            <v>94.4</v>
          </cell>
          <cell r="I87" t="e">
            <v>#N/A</v>
          </cell>
        </row>
        <row r="88">
          <cell r="A88">
            <v>41698</v>
          </cell>
          <cell r="B88">
            <v>74</v>
          </cell>
          <cell r="C88">
            <v>55</v>
          </cell>
          <cell r="D88">
            <v>42912</v>
          </cell>
          <cell r="E88">
            <v>1</v>
          </cell>
          <cell r="F88">
            <v>104.78</v>
          </cell>
          <cell r="G88">
            <v>1954340.7</v>
          </cell>
          <cell r="H88">
            <v>94.2</v>
          </cell>
          <cell r="I88" t="e">
            <v>#N/A</v>
          </cell>
        </row>
        <row r="89">
          <cell r="A89">
            <v>41670</v>
          </cell>
          <cell r="B89">
            <v>72</v>
          </cell>
          <cell r="C89">
            <v>52.5</v>
          </cell>
          <cell r="D89">
            <v>45563</v>
          </cell>
          <cell r="E89">
            <v>1.1000000000000001</v>
          </cell>
          <cell r="F89">
            <v>104.65</v>
          </cell>
          <cell r="G89">
            <v>1937045.6</v>
          </cell>
          <cell r="H89">
            <v>94</v>
          </cell>
          <cell r="I89" t="e">
            <v>#N/A</v>
          </cell>
        </row>
        <row r="90">
          <cell r="A90">
            <v>41639</v>
          </cell>
          <cell r="B90">
            <v>73</v>
          </cell>
          <cell r="C90">
            <v>56.5</v>
          </cell>
          <cell r="D90">
            <v>48013</v>
          </cell>
          <cell r="E90">
            <v>1.1000000000000001</v>
          </cell>
          <cell r="F90">
            <v>104.37</v>
          </cell>
          <cell r="G90">
            <v>1932026.4</v>
          </cell>
          <cell r="H90">
            <v>93.7</v>
          </cell>
          <cell r="I90" t="e">
            <v>#N/A</v>
          </cell>
        </row>
        <row r="91">
          <cell r="A91">
            <v>41608</v>
          </cell>
          <cell r="B91">
            <v>74</v>
          </cell>
          <cell r="C91">
            <v>55.5</v>
          </cell>
          <cell r="D91">
            <v>47878</v>
          </cell>
          <cell r="E91">
            <v>1.2</v>
          </cell>
          <cell r="F91">
            <v>104.13</v>
          </cell>
          <cell r="G91">
            <v>1923339.2</v>
          </cell>
          <cell r="H91">
            <v>93.3</v>
          </cell>
          <cell r="I91" t="e">
            <v>#N/A</v>
          </cell>
        </row>
        <row r="92">
          <cell r="A92">
            <v>41578</v>
          </cell>
          <cell r="B92">
            <v>75</v>
          </cell>
          <cell r="C92">
            <v>54.6</v>
          </cell>
          <cell r="D92">
            <v>50487</v>
          </cell>
          <cell r="E92">
            <v>0.9</v>
          </cell>
          <cell r="F92">
            <v>104.34</v>
          </cell>
          <cell r="G92">
            <v>1908557.6</v>
          </cell>
          <cell r="H92">
            <v>92.9</v>
          </cell>
          <cell r="I92" t="e">
            <v>#N/A</v>
          </cell>
        </row>
        <row r="93">
          <cell r="A93">
            <v>41547</v>
          </cell>
          <cell r="B93">
            <v>72</v>
          </cell>
          <cell r="C93">
            <v>54.6</v>
          </cell>
          <cell r="D93">
            <v>44659</v>
          </cell>
          <cell r="E93">
            <v>1</v>
          </cell>
          <cell r="F93">
            <v>104.71</v>
          </cell>
          <cell r="G93">
            <v>1903187.1</v>
          </cell>
          <cell r="H93">
            <v>92.4</v>
          </cell>
          <cell r="I93" t="e">
            <v>#N/A</v>
          </cell>
        </row>
        <row r="94">
          <cell r="A94">
            <v>41517</v>
          </cell>
          <cell r="B94">
            <v>70</v>
          </cell>
          <cell r="C94">
            <v>54</v>
          </cell>
          <cell r="D94">
            <v>46296</v>
          </cell>
          <cell r="E94">
            <v>1.5</v>
          </cell>
          <cell r="F94">
            <v>104.82</v>
          </cell>
          <cell r="G94">
            <v>1888658.4</v>
          </cell>
          <cell r="H94">
            <v>92.4</v>
          </cell>
          <cell r="I94" t="e">
            <v>#N/A</v>
          </cell>
        </row>
        <row r="95">
          <cell r="A95">
            <v>41486</v>
          </cell>
          <cell r="B95">
            <v>70</v>
          </cell>
          <cell r="C95">
            <v>53.8</v>
          </cell>
          <cell r="D95">
            <v>45829</v>
          </cell>
          <cell r="E95">
            <v>1.6</v>
          </cell>
          <cell r="F95">
            <v>104.53</v>
          </cell>
          <cell r="G95">
            <v>1890728.6</v>
          </cell>
          <cell r="H95">
            <v>92</v>
          </cell>
          <cell r="I95" t="e">
            <v>#N/A</v>
          </cell>
        </row>
        <row r="96">
          <cell r="A96">
            <v>41455</v>
          </cell>
          <cell r="B96">
            <v>74</v>
          </cell>
          <cell r="C96">
            <v>51.1</v>
          </cell>
          <cell r="D96">
            <v>46685</v>
          </cell>
          <cell r="E96">
            <v>1.2</v>
          </cell>
          <cell r="F96">
            <v>104.55</v>
          </cell>
          <cell r="G96">
            <v>1884193.2</v>
          </cell>
          <cell r="H96">
            <v>91.6</v>
          </cell>
          <cell r="I96" t="e">
            <v>#N/A</v>
          </cell>
        </row>
        <row r="97">
          <cell r="A97">
            <v>41425</v>
          </cell>
          <cell r="B97">
            <v>73</v>
          </cell>
          <cell r="C97">
            <v>50.8</v>
          </cell>
          <cell r="D97">
            <v>48309</v>
          </cell>
          <cell r="E97">
            <v>1.1000000000000001</v>
          </cell>
          <cell r="F97">
            <v>104.57</v>
          </cell>
          <cell r="G97">
            <v>1870289.7</v>
          </cell>
          <cell r="H97">
            <v>90.9</v>
          </cell>
          <cell r="I97" t="e">
            <v>#N/A</v>
          </cell>
        </row>
        <row r="98">
          <cell r="A98">
            <v>41394</v>
          </cell>
          <cell r="B98">
            <v>73</v>
          </cell>
          <cell r="C98">
            <v>51</v>
          </cell>
          <cell r="D98">
            <v>46165</v>
          </cell>
          <cell r="E98">
            <v>1.3</v>
          </cell>
          <cell r="F98">
            <v>104.93</v>
          </cell>
          <cell r="G98">
            <v>1867726.3</v>
          </cell>
          <cell r="H98">
            <v>90.5</v>
          </cell>
          <cell r="I98" t="e">
            <v>#N/A</v>
          </cell>
        </row>
        <row r="99">
          <cell r="A99">
            <v>41364</v>
          </cell>
          <cell r="B99">
            <v>71</v>
          </cell>
          <cell r="C99">
            <v>51.9</v>
          </cell>
          <cell r="D99">
            <v>47318</v>
          </cell>
          <cell r="E99">
            <v>1.5</v>
          </cell>
          <cell r="F99">
            <v>105.26</v>
          </cell>
          <cell r="G99">
            <v>1862405.5</v>
          </cell>
          <cell r="H99">
            <v>90.3</v>
          </cell>
          <cell r="I99" t="e">
            <v>#N/A</v>
          </cell>
        </row>
        <row r="100">
          <cell r="A100">
            <v>41333</v>
          </cell>
          <cell r="B100">
            <v>68</v>
          </cell>
          <cell r="C100">
            <v>54.2</v>
          </cell>
          <cell r="D100">
            <v>42336</v>
          </cell>
          <cell r="E100">
            <v>1.6</v>
          </cell>
          <cell r="F100">
            <v>105.68</v>
          </cell>
          <cell r="G100">
            <v>1857135</v>
          </cell>
          <cell r="H100">
            <v>90</v>
          </cell>
          <cell r="I100" t="e">
            <v>#N/A</v>
          </cell>
        </row>
        <row r="101">
          <cell r="A101">
            <v>41305</v>
          </cell>
          <cell r="B101">
            <v>69</v>
          </cell>
          <cell r="C101">
            <v>53.3</v>
          </cell>
          <cell r="D101">
            <v>45674</v>
          </cell>
          <cell r="E101">
            <v>1.6</v>
          </cell>
          <cell r="F101">
            <v>104.96</v>
          </cell>
          <cell r="G101">
            <v>1841128.1</v>
          </cell>
          <cell r="H101">
            <v>89.8</v>
          </cell>
          <cell r="I101" t="e">
            <v>#N/A</v>
          </cell>
        </row>
        <row r="102">
          <cell r="A102">
            <v>41274</v>
          </cell>
          <cell r="B102">
            <v>68</v>
          </cell>
          <cell r="C102">
            <v>50.1</v>
          </cell>
          <cell r="D102">
            <v>45032</v>
          </cell>
          <cell r="E102">
            <v>1.4</v>
          </cell>
          <cell r="F102">
            <v>104.79</v>
          </cell>
          <cell r="G102">
            <v>1835556.7</v>
          </cell>
          <cell r="H102">
            <v>89.6</v>
          </cell>
          <cell r="I102" t="e">
            <v>#N/A</v>
          </cell>
        </row>
        <row r="103">
          <cell r="A103">
            <v>41243</v>
          </cell>
          <cell r="B103">
            <v>66</v>
          </cell>
          <cell r="C103">
            <v>48</v>
          </cell>
          <cell r="D103">
            <v>47789</v>
          </cell>
          <cell r="E103">
            <v>1.6</v>
          </cell>
          <cell r="F103">
            <v>105.05</v>
          </cell>
          <cell r="G103">
            <v>1830280.3</v>
          </cell>
          <cell r="H103">
            <v>89.2</v>
          </cell>
          <cell r="I103" t="e">
            <v>#N/A</v>
          </cell>
        </row>
        <row r="104">
          <cell r="A104">
            <v>41213</v>
          </cell>
          <cell r="B104">
            <v>68</v>
          </cell>
          <cell r="C104">
            <v>50.5</v>
          </cell>
          <cell r="D104">
            <v>47090</v>
          </cell>
          <cell r="E104">
            <v>2.1</v>
          </cell>
          <cell r="F104">
            <v>105.78</v>
          </cell>
          <cell r="G104">
            <v>1822420.9</v>
          </cell>
          <cell r="H104">
            <v>88.9</v>
          </cell>
          <cell r="I104" t="e">
            <v>#N/A</v>
          </cell>
        </row>
        <row r="105">
          <cell r="A105">
            <v>41182</v>
          </cell>
          <cell r="B105">
            <v>68</v>
          </cell>
          <cell r="C105">
            <v>50.8</v>
          </cell>
          <cell r="D105">
            <v>45415</v>
          </cell>
          <cell r="E105">
            <v>2.1</v>
          </cell>
          <cell r="F105">
            <v>106.61</v>
          </cell>
          <cell r="G105">
            <v>1819290.1</v>
          </cell>
          <cell r="H105">
            <v>88.6</v>
          </cell>
          <cell r="I105" t="e">
            <v>#N/A</v>
          </cell>
        </row>
        <row r="106">
          <cell r="A106">
            <v>41152</v>
          </cell>
          <cell r="B106">
            <v>69</v>
          </cell>
          <cell r="C106">
            <v>49</v>
          </cell>
          <cell r="D106">
            <v>43046</v>
          </cell>
          <cell r="E106">
            <v>1.3</v>
          </cell>
          <cell r="F106">
            <v>106.23</v>
          </cell>
          <cell r="G106">
            <v>1817134.9</v>
          </cell>
          <cell r="H106">
            <v>88.5</v>
          </cell>
          <cell r="I106" t="e">
            <v>#N/A</v>
          </cell>
        </row>
        <row r="107">
          <cell r="A107">
            <v>41121</v>
          </cell>
          <cell r="B107">
            <v>69</v>
          </cell>
          <cell r="C107">
            <v>49.6</v>
          </cell>
          <cell r="D107">
            <v>44669</v>
          </cell>
          <cell r="E107">
            <v>1.5</v>
          </cell>
          <cell r="F107">
            <v>105.58</v>
          </cell>
          <cell r="G107">
            <v>1807289.2</v>
          </cell>
          <cell r="H107">
            <v>88.4</v>
          </cell>
          <cell r="I107" t="e">
            <v>#N/A</v>
          </cell>
        </row>
        <row r="108">
          <cell r="A108">
            <v>41090</v>
          </cell>
          <cell r="B108">
            <v>78</v>
          </cell>
          <cell r="C108">
            <v>49.5</v>
          </cell>
          <cell r="D108">
            <v>47172</v>
          </cell>
          <cell r="E108">
            <v>2.2000000000000002</v>
          </cell>
          <cell r="F108">
            <v>106.05</v>
          </cell>
          <cell r="G108">
            <v>1796981.5</v>
          </cell>
          <cell r="H108">
            <v>88.3</v>
          </cell>
          <cell r="I108" t="e">
            <v>#N/A</v>
          </cell>
        </row>
        <row r="109">
          <cell r="A109">
            <v>41060</v>
          </cell>
          <cell r="B109">
            <v>82</v>
          </cell>
          <cell r="C109">
            <v>53.2</v>
          </cell>
          <cell r="D109">
            <v>46913</v>
          </cell>
          <cell r="E109">
            <v>2.5</v>
          </cell>
          <cell r="F109">
            <v>107.35</v>
          </cell>
          <cell r="G109">
            <v>1784220.5</v>
          </cell>
          <cell r="H109">
            <v>88</v>
          </cell>
          <cell r="I109" t="e">
            <v>#N/A</v>
          </cell>
        </row>
        <row r="110">
          <cell r="A110">
            <v>41029</v>
          </cell>
          <cell r="B110">
            <v>82</v>
          </cell>
          <cell r="C110">
            <v>55.2</v>
          </cell>
          <cell r="D110">
            <v>46096</v>
          </cell>
          <cell r="E110">
            <v>2.6</v>
          </cell>
          <cell r="F110">
            <v>107.95</v>
          </cell>
          <cell r="G110">
            <v>1777114.7</v>
          </cell>
          <cell r="H110">
            <v>87.8</v>
          </cell>
          <cell r="I110" t="e">
            <v>#N/A</v>
          </cell>
        </row>
        <row r="111">
          <cell r="A111">
            <v>40999</v>
          </cell>
          <cell r="B111">
            <v>81</v>
          </cell>
          <cell r="C111">
            <v>53.5</v>
          </cell>
          <cell r="D111">
            <v>47327</v>
          </cell>
          <cell r="E111">
            <v>2.7</v>
          </cell>
          <cell r="F111">
            <v>107.9</v>
          </cell>
          <cell r="G111">
            <v>1773172.9</v>
          </cell>
          <cell r="H111">
            <v>87.5</v>
          </cell>
          <cell r="I111" t="e">
            <v>#N/A</v>
          </cell>
        </row>
        <row r="112">
          <cell r="A112">
            <v>40968</v>
          </cell>
          <cell r="B112">
            <v>79</v>
          </cell>
          <cell r="C112">
            <v>53.3</v>
          </cell>
          <cell r="D112">
            <v>46318</v>
          </cell>
          <cell r="E112">
            <v>3</v>
          </cell>
          <cell r="F112">
            <v>107.37</v>
          </cell>
          <cell r="G112">
            <v>1762988.4</v>
          </cell>
          <cell r="H112">
            <v>87.1</v>
          </cell>
          <cell r="I112" t="e">
            <v>#N/A</v>
          </cell>
        </row>
        <row r="113">
          <cell r="A113">
            <v>40939</v>
          </cell>
          <cell r="B113">
            <v>78</v>
          </cell>
          <cell r="C113">
            <v>54.2</v>
          </cell>
          <cell r="D113">
            <v>41210</v>
          </cell>
          <cell r="E113">
            <v>3.3</v>
          </cell>
          <cell r="F113">
            <v>106.64</v>
          </cell>
          <cell r="G113">
            <v>1757058.7</v>
          </cell>
          <cell r="H113">
            <v>86.6</v>
          </cell>
          <cell r="I113" t="e">
            <v>#N/A</v>
          </cell>
        </row>
        <row r="114">
          <cell r="A114">
            <v>40908</v>
          </cell>
          <cell r="B114">
            <v>81</v>
          </cell>
          <cell r="C114">
            <v>53</v>
          </cell>
          <cell r="D114">
            <v>48923</v>
          </cell>
          <cell r="E114">
            <v>4.2</v>
          </cell>
          <cell r="F114">
            <v>106.09</v>
          </cell>
          <cell r="G114">
            <v>1756597.4</v>
          </cell>
          <cell r="H114">
            <v>86.2</v>
          </cell>
          <cell r="I114" t="e">
            <v>#N/A</v>
          </cell>
        </row>
        <row r="115">
          <cell r="A115">
            <v>40877</v>
          </cell>
          <cell r="B115">
            <v>80</v>
          </cell>
          <cell r="C115">
            <v>51.8</v>
          </cell>
          <cell r="D115">
            <v>46055</v>
          </cell>
          <cell r="E115">
            <v>4.2</v>
          </cell>
          <cell r="F115">
            <v>105.99</v>
          </cell>
          <cell r="G115">
            <v>1753296.4</v>
          </cell>
          <cell r="H115">
            <v>86</v>
          </cell>
          <cell r="I115" t="e">
            <v>#N/A</v>
          </cell>
        </row>
        <row r="116">
          <cell r="A116">
            <v>40847</v>
          </cell>
          <cell r="B116">
            <v>82</v>
          </cell>
          <cell r="C116">
            <v>51.4</v>
          </cell>
          <cell r="D116">
            <v>46637</v>
          </cell>
          <cell r="E116">
            <v>3.6</v>
          </cell>
          <cell r="F116">
            <v>106.33</v>
          </cell>
          <cell r="G116">
            <v>1742645.4</v>
          </cell>
          <cell r="H116">
            <v>85.9</v>
          </cell>
          <cell r="I116" t="e">
            <v>#N/A</v>
          </cell>
        </row>
        <row r="117">
          <cell r="A117">
            <v>40816</v>
          </cell>
          <cell r="B117">
            <v>82</v>
          </cell>
          <cell r="C117">
            <v>53.7</v>
          </cell>
          <cell r="D117">
            <v>46520</v>
          </cell>
          <cell r="E117">
            <v>3.8</v>
          </cell>
          <cell r="F117">
            <v>106.43</v>
          </cell>
          <cell r="G117">
            <v>1729531.1</v>
          </cell>
          <cell r="H117">
            <v>85.9</v>
          </cell>
          <cell r="I117" t="e">
            <v>#N/A</v>
          </cell>
        </row>
        <row r="118">
          <cell r="A118">
            <v>40786</v>
          </cell>
          <cell r="B118">
            <v>81</v>
          </cell>
          <cell r="C118">
            <v>52.6</v>
          </cell>
          <cell r="D118">
            <v>45756</v>
          </cell>
          <cell r="E118">
            <v>4.7</v>
          </cell>
          <cell r="F118">
            <v>106.35</v>
          </cell>
          <cell r="G118">
            <v>1719437.8</v>
          </cell>
          <cell r="H118">
            <v>85.9</v>
          </cell>
          <cell r="I118" t="e">
            <v>#N/A</v>
          </cell>
        </row>
        <row r="119">
          <cell r="A119">
            <v>40755</v>
          </cell>
          <cell r="B119">
            <v>87</v>
          </cell>
          <cell r="C119">
            <v>52.9</v>
          </cell>
          <cell r="D119">
            <v>48952</v>
          </cell>
          <cell r="E119">
            <v>4.5</v>
          </cell>
          <cell r="F119">
            <v>106.21</v>
          </cell>
          <cell r="G119">
            <v>1705451.5</v>
          </cell>
          <cell r="H119">
            <v>85.9</v>
          </cell>
          <cell r="I119" t="e">
            <v>#N/A</v>
          </cell>
        </row>
        <row r="120">
          <cell r="A120">
            <v>40724</v>
          </cell>
          <cell r="B120">
            <v>88</v>
          </cell>
          <cell r="C120">
            <v>55.8</v>
          </cell>
          <cell r="D120">
            <v>46738</v>
          </cell>
          <cell r="E120">
            <v>4.2</v>
          </cell>
          <cell r="F120">
            <v>106.07</v>
          </cell>
          <cell r="G120">
            <v>1697204.2</v>
          </cell>
          <cell r="H120">
            <v>85.7</v>
          </cell>
          <cell r="I120" t="e">
            <v>#N/A</v>
          </cell>
        </row>
        <row r="121">
          <cell r="A121">
            <v>40694</v>
          </cell>
          <cell r="B121">
            <v>90</v>
          </cell>
          <cell r="C121">
            <v>54.8</v>
          </cell>
          <cell r="D121">
            <v>47415</v>
          </cell>
          <cell r="E121">
            <v>3.9</v>
          </cell>
          <cell r="F121">
            <v>106.31</v>
          </cell>
          <cell r="G121">
            <v>1690543</v>
          </cell>
          <cell r="H121">
            <v>85.6</v>
          </cell>
          <cell r="I121" t="e">
            <v>#N/A</v>
          </cell>
        </row>
        <row r="122">
          <cell r="A122">
            <v>40663</v>
          </cell>
          <cell r="B122">
            <v>92</v>
          </cell>
          <cell r="C122">
            <v>57.9</v>
          </cell>
          <cell r="D122">
            <v>48537</v>
          </cell>
          <cell r="E122">
            <v>3.8</v>
          </cell>
          <cell r="F122">
            <v>105.99</v>
          </cell>
          <cell r="G122">
            <v>1684792.3</v>
          </cell>
          <cell r="H122">
            <v>85.5</v>
          </cell>
          <cell r="I122" t="e">
            <v>#N/A</v>
          </cell>
        </row>
        <row r="123">
          <cell r="A123">
            <v>40633</v>
          </cell>
          <cell r="B123">
            <v>87</v>
          </cell>
          <cell r="C123">
            <v>58.4</v>
          </cell>
          <cell r="D123">
            <v>48044</v>
          </cell>
          <cell r="E123">
            <v>4.0999999999999996</v>
          </cell>
          <cell r="F123">
            <v>105.34</v>
          </cell>
          <cell r="G123">
            <v>1677475.9</v>
          </cell>
          <cell r="H123">
            <v>85.6</v>
          </cell>
          <cell r="I123" t="e">
            <v>#N/A</v>
          </cell>
        </row>
        <row r="124">
          <cell r="A124">
            <v>40602</v>
          </cell>
          <cell r="B124">
            <v>84</v>
          </cell>
          <cell r="C124">
            <v>59.2</v>
          </cell>
          <cell r="D124">
            <v>38471</v>
          </cell>
          <cell r="E124">
            <v>3.9</v>
          </cell>
          <cell r="F124">
            <v>104.09</v>
          </cell>
          <cell r="G124">
            <v>1674390.5</v>
          </cell>
          <cell r="H124">
            <v>85.5</v>
          </cell>
          <cell r="I124" t="e">
            <v>#N/A</v>
          </cell>
        </row>
        <row r="125">
          <cell r="A125">
            <v>40574</v>
          </cell>
          <cell r="B125">
            <v>87</v>
          </cell>
          <cell r="C125">
            <v>59.1</v>
          </cell>
          <cell r="D125">
            <v>44467</v>
          </cell>
          <cell r="E125">
            <v>3.4</v>
          </cell>
          <cell r="F125">
            <v>103.32</v>
          </cell>
          <cell r="G125">
            <v>1676448.8</v>
          </cell>
          <cell r="H125">
            <v>85.1</v>
          </cell>
          <cell r="I125" t="e">
            <v>#N/A</v>
          </cell>
        </row>
        <row r="126">
          <cell r="A126">
            <v>40543</v>
          </cell>
          <cell r="B126">
            <v>90</v>
          </cell>
          <cell r="C126">
            <v>56.6</v>
          </cell>
          <cell r="D126">
            <v>44145</v>
          </cell>
          <cell r="E126">
            <v>3</v>
          </cell>
          <cell r="F126">
            <v>101.75</v>
          </cell>
          <cell r="G126">
            <v>1682871.9</v>
          </cell>
          <cell r="H126">
            <v>84.5</v>
          </cell>
          <cell r="I126" t="e">
            <v>#N/A</v>
          </cell>
        </row>
        <row r="127">
          <cell r="A127">
            <v>40512</v>
          </cell>
          <cell r="B127">
            <v>90</v>
          </cell>
          <cell r="C127">
            <v>57.3</v>
          </cell>
          <cell r="D127">
            <v>41261</v>
          </cell>
          <cell r="E127">
            <v>3</v>
          </cell>
          <cell r="F127">
            <v>100.82</v>
          </cell>
          <cell r="G127">
            <v>1679909.9</v>
          </cell>
          <cell r="H127">
            <v>84.3</v>
          </cell>
          <cell r="I127" t="e">
            <v>#N/A</v>
          </cell>
        </row>
        <row r="128">
          <cell r="A128">
            <v>40482</v>
          </cell>
          <cell r="B128">
            <v>89</v>
          </cell>
          <cell r="C128">
            <v>56.9</v>
          </cell>
          <cell r="D128" t="e">
            <v>#N/A</v>
          </cell>
          <cell r="E128">
            <v>3.7</v>
          </cell>
          <cell r="F128">
            <v>100.47</v>
          </cell>
          <cell r="G128">
            <v>1669376.6</v>
          </cell>
          <cell r="H128">
            <v>84.2</v>
          </cell>
          <cell r="I128" t="e">
            <v>#N/A</v>
          </cell>
        </row>
        <row r="129">
          <cell r="A129">
            <v>40451</v>
          </cell>
          <cell r="B129">
            <v>88</v>
          </cell>
          <cell r="C129">
            <v>55.3</v>
          </cell>
          <cell r="D129">
            <v>39411</v>
          </cell>
          <cell r="E129">
            <v>3.4</v>
          </cell>
          <cell r="F129">
            <v>100.1</v>
          </cell>
          <cell r="G129">
            <v>1659400.1</v>
          </cell>
          <cell r="H129">
            <v>84.3</v>
          </cell>
          <cell r="I129" t="e">
            <v>#N/A</v>
          </cell>
        </row>
        <row r="130">
          <cell r="A130">
            <v>40421</v>
          </cell>
          <cell r="B130">
            <v>88</v>
          </cell>
          <cell r="C130">
            <v>56.4</v>
          </cell>
          <cell r="D130">
            <v>36481</v>
          </cell>
          <cell r="E130">
            <v>2.7</v>
          </cell>
          <cell r="F130">
            <v>99.53</v>
          </cell>
          <cell r="G130">
            <v>1653907.2</v>
          </cell>
          <cell r="H130">
            <v>84.2</v>
          </cell>
          <cell r="I130" t="e">
            <v>#N/A</v>
          </cell>
        </row>
        <row r="131">
          <cell r="A131">
            <v>40390</v>
          </cell>
          <cell r="B131">
            <v>93</v>
          </cell>
          <cell r="C131">
            <v>56.1</v>
          </cell>
          <cell r="D131">
            <v>40424</v>
          </cell>
          <cell r="E131">
            <v>2.5</v>
          </cell>
          <cell r="F131">
            <v>99.23</v>
          </cell>
          <cell r="G131">
            <v>1653057.5</v>
          </cell>
          <cell r="H131">
            <v>84</v>
          </cell>
          <cell r="I131" t="e">
            <v>#N/A</v>
          </cell>
        </row>
        <row r="132">
          <cell r="A132">
            <v>40359</v>
          </cell>
          <cell r="B132">
            <v>94</v>
          </cell>
          <cell r="C132">
            <v>56.5</v>
          </cell>
          <cell r="D132">
            <v>42049</v>
          </cell>
          <cell r="E132">
            <v>2.7</v>
          </cell>
          <cell r="F132">
            <v>98.98</v>
          </cell>
          <cell r="G132">
            <v>1647981.2</v>
          </cell>
          <cell r="H132">
            <v>83.7</v>
          </cell>
          <cell r="I132" t="e">
            <v>#N/A</v>
          </cell>
        </row>
        <row r="133">
          <cell r="A133">
            <v>40329</v>
          </cell>
          <cell r="B133">
            <v>95</v>
          </cell>
          <cell r="C133">
            <v>57.4</v>
          </cell>
          <cell r="D133">
            <v>38888</v>
          </cell>
          <cell r="E133">
            <v>2.7</v>
          </cell>
          <cell r="F133">
            <v>98.87</v>
          </cell>
          <cell r="G133">
            <v>1630904.7</v>
          </cell>
          <cell r="H133">
            <v>83.5</v>
          </cell>
          <cell r="I133" t="e">
            <v>#N/A</v>
          </cell>
        </row>
        <row r="134">
          <cell r="A134">
            <v>40298</v>
          </cell>
          <cell r="B134">
            <v>94</v>
          </cell>
          <cell r="C134">
            <v>58.1</v>
          </cell>
          <cell r="D134">
            <v>39301</v>
          </cell>
          <cell r="E134">
            <v>2.6</v>
          </cell>
          <cell r="F134">
            <v>98.04</v>
          </cell>
          <cell r="G134">
            <v>1621176.9</v>
          </cell>
          <cell r="H134">
            <v>83.3</v>
          </cell>
          <cell r="I134" t="e">
            <v>#N/A</v>
          </cell>
        </row>
        <row r="135">
          <cell r="A135">
            <v>40268</v>
          </cell>
          <cell r="B135">
            <v>89</v>
          </cell>
          <cell r="C135">
            <v>58.8</v>
          </cell>
          <cell r="D135">
            <v>37309</v>
          </cell>
          <cell r="E135">
            <v>2.5</v>
          </cell>
          <cell r="F135">
            <v>97.33</v>
          </cell>
          <cell r="G135">
            <v>1607896.1</v>
          </cell>
          <cell r="H135">
            <v>83.2</v>
          </cell>
          <cell r="I135" t="e">
            <v>#N/A</v>
          </cell>
        </row>
        <row r="136">
          <cell r="A136">
            <v>40237</v>
          </cell>
          <cell r="B136">
            <v>89</v>
          </cell>
          <cell r="C136">
            <v>55.5</v>
          </cell>
          <cell r="D136">
            <v>33039</v>
          </cell>
          <cell r="E136">
            <v>3</v>
          </cell>
          <cell r="F136">
            <v>96.88</v>
          </cell>
          <cell r="G136">
            <v>1595403.8</v>
          </cell>
          <cell r="H136">
            <v>83</v>
          </cell>
          <cell r="I136" t="e">
            <v>#N/A</v>
          </cell>
        </row>
        <row r="137">
          <cell r="A137">
            <v>40209</v>
          </cell>
          <cell r="B137">
            <v>89</v>
          </cell>
          <cell r="C137">
            <v>56.3</v>
          </cell>
          <cell r="D137">
            <v>30735</v>
          </cell>
          <cell r="E137">
            <v>3.5</v>
          </cell>
          <cell r="F137">
            <v>96.71</v>
          </cell>
          <cell r="G137">
            <v>1574215.8</v>
          </cell>
          <cell r="H137">
            <v>82.9</v>
          </cell>
          <cell r="I137" t="e">
            <v>#N/A</v>
          </cell>
        </row>
        <row r="138">
          <cell r="A138">
            <v>40178</v>
          </cell>
          <cell r="B138">
            <v>89</v>
          </cell>
          <cell r="C138">
            <v>55.8</v>
          </cell>
          <cell r="D138">
            <v>36010</v>
          </cell>
          <cell r="E138">
            <v>2.8</v>
          </cell>
          <cell r="F138">
            <v>96.29</v>
          </cell>
          <cell r="G138">
            <v>1570027.1</v>
          </cell>
          <cell r="H138">
            <v>82.6</v>
          </cell>
          <cell r="I138" t="e">
            <v>#N/A</v>
          </cell>
        </row>
        <row r="139">
          <cell r="A139">
            <v>40147</v>
          </cell>
          <cell r="B139">
            <v>85</v>
          </cell>
          <cell r="C139">
            <v>55.4</v>
          </cell>
          <cell r="D139">
            <v>33992</v>
          </cell>
          <cell r="E139">
            <v>2.4</v>
          </cell>
          <cell r="F139">
            <v>95.81</v>
          </cell>
          <cell r="G139">
            <v>1564175.8</v>
          </cell>
          <cell r="H139">
            <v>82.2</v>
          </cell>
          <cell r="I139" t="e">
            <v>#N/A</v>
          </cell>
        </row>
        <row r="140">
          <cell r="A140">
            <v>40117</v>
          </cell>
          <cell r="B140">
            <v>88</v>
          </cell>
          <cell r="C140">
            <v>57.6</v>
          </cell>
          <cell r="D140">
            <v>33970</v>
          </cell>
          <cell r="E140">
            <v>2</v>
          </cell>
          <cell r="F140">
            <v>95.48</v>
          </cell>
          <cell r="G140">
            <v>1551319.5</v>
          </cell>
          <cell r="H140">
            <v>81.5</v>
          </cell>
          <cell r="I140" t="e">
            <v>#N/A</v>
          </cell>
        </row>
        <row r="141">
          <cell r="A141">
            <v>40086</v>
          </cell>
          <cell r="B141">
            <v>84</v>
          </cell>
          <cell r="C141">
            <v>54.9</v>
          </cell>
          <cell r="D141">
            <v>33922</v>
          </cell>
          <cell r="E141">
            <v>2.2000000000000002</v>
          </cell>
          <cell r="F141">
            <v>96.25</v>
          </cell>
          <cell r="G141">
            <v>1535279.8</v>
          </cell>
          <cell r="H141">
            <v>80.8</v>
          </cell>
          <cell r="I141" t="e">
            <v>#N/A</v>
          </cell>
        </row>
        <row r="142">
          <cell r="A142">
            <v>40056</v>
          </cell>
          <cell r="B142">
            <v>81</v>
          </cell>
          <cell r="C142">
            <v>53.4</v>
          </cell>
          <cell r="D142">
            <v>28950</v>
          </cell>
          <cell r="E142">
            <v>2.2000000000000002</v>
          </cell>
          <cell r="F142">
            <v>96.16</v>
          </cell>
          <cell r="G142">
            <v>1524879.7</v>
          </cell>
          <cell r="H142">
            <v>80.3</v>
          </cell>
          <cell r="I142" t="e">
            <v>#N/A</v>
          </cell>
        </row>
        <row r="143">
          <cell r="A143">
            <v>40025</v>
          </cell>
          <cell r="B143">
            <v>78</v>
          </cell>
          <cell r="C143">
            <v>49.7</v>
          </cell>
          <cell r="D143">
            <v>31908</v>
          </cell>
          <cell r="E143">
            <v>1.6</v>
          </cell>
          <cell r="F143">
            <v>95.61</v>
          </cell>
          <cell r="G143">
            <v>1512822.5</v>
          </cell>
          <cell r="H143">
            <v>79.8</v>
          </cell>
          <cell r="I143" t="e">
            <v>#N/A</v>
          </cell>
        </row>
        <row r="144">
          <cell r="A144">
            <v>39994</v>
          </cell>
          <cell r="B144">
            <v>77</v>
          </cell>
          <cell r="C144">
            <v>46.3</v>
          </cell>
          <cell r="D144">
            <v>32210</v>
          </cell>
          <cell r="E144">
            <v>2</v>
          </cell>
          <cell r="F144">
            <v>94.53</v>
          </cell>
          <cell r="G144">
            <v>1501898.3</v>
          </cell>
          <cell r="H144">
            <v>79.400000000000006</v>
          </cell>
          <cell r="I144" t="e">
            <v>#N/A</v>
          </cell>
        </row>
        <row r="145">
          <cell r="A145">
            <v>39964</v>
          </cell>
          <cell r="B145">
            <v>74</v>
          </cell>
          <cell r="C145">
            <v>44.1</v>
          </cell>
          <cell r="D145">
            <v>27824</v>
          </cell>
          <cell r="E145">
            <v>2.7</v>
          </cell>
          <cell r="F145">
            <v>94.78</v>
          </cell>
          <cell r="G145">
            <v>1491542.7</v>
          </cell>
          <cell r="H145">
            <v>78.400000000000006</v>
          </cell>
          <cell r="I145" t="e">
            <v>#N/A</v>
          </cell>
        </row>
        <row r="146">
          <cell r="A146">
            <v>39933</v>
          </cell>
          <cell r="B146">
            <v>69</v>
          </cell>
          <cell r="C146">
            <v>39.9</v>
          </cell>
          <cell r="D146">
            <v>30327</v>
          </cell>
          <cell r="E146">
            <v>3.6</v>
          </cell>
          <cell r="F146">
            <v>95.51</v>
          </cell>
          <cell r="G146">
            <v>1482009.7</v>
          </cell>
          <cell r="H146">
            <v>77.7</v>
          </cell>
          <cell r="I146" t="e">
            <v>#N/A</v>
          </cell>
        </row>
        <row r="147">
          <cell r="A147">
            <v>39903</v>
          </cell>
          <cell r="B147">
            <v>58</v>
          </cell>
          <cell r="C147">
            <v>37.200000000000003</v>
          </cell>
          <cell r="D147">
            <v>27891</v>
          </cell>
          <cell r="E147">
            <v>3.9</v>
          </cell>
          <cell r="F147">
            <v>95.4</v>
          </cell>
          <cell r="G147">
            <v>1470443.1</v>
          </cell>
          <cell r="H147">
            <v>76.599999999999994</v>
          </cell>
          <cell r="I147" t="e">
            <v>#N/A</v>
          </cell>
        </row>
        <row r="148">
          <cell r="A148">
            <v>39872</v>
          </cell>
          <cell r="B148">
            <v>52</v>
          </cell>
          <cell r="C148">
            <v>36.6</v>
          </cell>
          <cell r="D148">
            <v>25397</v>
          </cell>
          <cell r="E148">
            <v>4.0999999999999996</v>
          </cell>
          <cell r="F148">
            <v>94.95</v>
          </cell>
          <cell r="G148">
            <v>1457931.3</v>
          </cell>
          <cell r="H148">
            <v>76.099999999999994</v>
          </cell>
          <cell r="I148" t="e">
            <v>#N/A</v>
          </cell>
        </row>
        <row r="149">
          <cell r="A149">
            <v>39844</v>
          </cell>
          <cell r="B149">
            <v>52</v>
          </cell>
          <cell r="C149">
            <v>36.4</v>
          </cell>
          <cell r="D149">
            <v>21133</v>
          </cell>
          <cell r="E149">
            <v>3.7</v>
          </cell>
          <cell r="F149">
            <v>94.31</v>
          </cell>
          <cell r="G149">
            <v>1440275.8</v>
          </cell>
          <cell r="H149">
            <v>75.7</v>
          </cell>
          <cell r="I149" t="e">
            <v>#N/A</v>
          </cell>
        </row>
        <row r="150">
          <cell r="A150">
            <v>39813</v>
          </cell>
          <cell r="B150">
            <v>51</v>
          </cell>
          <cell r="C150">
            <v>34.5</v>
          </cell>
          <cell r="D150">
            <v>27118</v>
          </cell>
          <cell r="E150">
            <v>4.0999999999999996</v>
          </cell>
          <cell r="F150">
            <v>94.58</v>
          </cell>
          <cell r="G150">
            <v>1436298.3</v>
          </cell>
          <cell r="H150">
            <v>75.7</v>
          </cell>
          <cell r="I150" t="e">
            <v>#N/A</v>
          </cell>
        </row>
        <row r="151">
          <cell r="A151">
            <v>39782</v>
          </cell>
          <cell r="B151">
            <v>55</v>
          </cell>
          <cell r="C151">
            <v>39</v>
          </cell>
          <cell r="D151">
            <v>28842</v>
          </cell>
          <cell r="E151">
            <v>4.5</v>
          </cell>
          <cell r="F151">
            <v>96.2</v>
          </cell>
          <cell r="G151">
            <v>1426165.1</v>
          </cell>
          <cell r="H151">
            <v>75.8</v>
          </cell>
          <cell r="I151" t="e">
            <v>#N/A</v>
          </cell>
        </row>
        <row r="152">
          <cell r="A152">
            <v>39752</v>
          </cell>
          <cell r="B152">
            <v>64</v>
          </cell>
          <cell r="C152">
            <v>38.200000000000003</v>
          </cell>
          <cell r="D152">
            <v>37111</v>
          </cell>
          <cell r="E152">
            <v>4.8</v>
          </cell>
          <cell r="F152">
            <v>98.49</v>
          </cell>
          <cell r="G152">
            <v>1403984.2</v>
          </cell>
          <cell r="H152">
            <v>76</v>
          </cell>
          <cell r="I152" t="e">
            <v>#N/A</v>
          </cell>
        </row>
        <row r="153">
          <cell r="A153">
            <v>39721</v>
          </cell>
          <cell r="B153">
            <v>73</v>
          </cell>
          <cell r="C153">
            <v>47.2</v>
          </cell>
          <cell r="D153">
            <v>37428</v>
          </cell>
          <cell r="E153">
            <v>5.0999999999999996</v>
          </cell>
          <cell r="F153">
            <v>98.75</v>
          </cell>
          <cell r="G153">
            <v>1395719.2</v>
          </cell>
          <cell r="H153">
            <v>76</v>
          </cell>
          <cell r="I153" t="e">
            <v>#N/A</v>
          </cell>
        </row>
        <row r="154">
          <cell r="A154">
            <v>39691</v>
          </cell>
          <cell r="B154">
            <v>73</v>
          </cell>
          <cell r="C154">
            <v>50.1</v>
          </cell>
          <cell r="D154">
            <v>36611</v>
          </cell>
          <cell r="E154">
            <v>5.6</v>
          </cell>
          <cell r="F154">
            <v>99.16</v>
          </cell>
          <cell r="G154">
            <v>1386101.1</v>
          </cell>
          <cell r="H154">
            <v>75.8</v>
          </cell>
          <cell r="I154" t="e">
            <v>#N/A</v>
          </cell>
        </row>
        <row r="155">
          <cell r="A155">
            <v>39660</v>
          </cell>
          <cell r="B155">
            <v>75</v>
          </cell>
          <cell r="C155">
            <v>50.8</v>
          </cell>
          <cell r="D155">
            <v>40961</v>
          </cell>
          <cell r="E155">
            <v>5.9</v>
          </cell>
          <cell r="F155">
            <v>99.44</v>
          </cell>
          <cell r="G155">
            <v>1378914.3</v>
          </cell>
          <cell r="H155">
            <v>75.599999999999994</v>
          </cell>
          <cell r="I155" t="e">
            <v>#N/A</v>
          </cell>
        </row>
        <row r="156">
          <cell r="A156">
            <v>39629</v>
          </cell>
          <cell r="B156">
            <v>76</v>
          </cell>
          <cell r="C156">
            <v>49.9</v>
          </cell>
          <cell r="D156">
            <v>37259</v>
          </cell>
          <cell r="E156">
            <v>5.5</v>
          </cell>
          <cell r="F156">
            <v>97.54</v>
          </cell>
          <cell r="G156">
            <v>1369728.1</v>
          </cell>
          <cell r="H156">
            <v>75.599999999999994</v>
          </cell>
          <cell r="I156" t="e">
            <v>#N/A</v>
          </cell>
        </row>
        <row r="157">
          <cell r="A157">
            <v>39599</v>
          </cell>
          <cell r="B157">
            <v>82</v>
          </cell>
          <cell r="C157">
            <v>48.9</v>
          </cell>
          <cell r="D157">
            <v>39383</v>
          </cell>
          <cell r="E157">
            <v>4.9000000000000004</v>
          </cell>
          <cell r="F157">
            <v>96</v>
          </cell>
          <cell r="G157">
            <v>1356612.9</v>
          </cell>
          <cell r="H157">
            <v>75.7</v>
          </cell>
          <cell r="I157" t="e">
            <v>#N/A</v>
          </cell>
        </row>
        <row r="158">
          <cell r="A158">
            <v>39568</v>
          </cell>
          <cell r="B158">
            <v>85</v>
          </cell>
          <cell r="C158">
            <v>48.5</v>
          </cell>
          <cell r="D158">
            <v>37850</v>
          </cell>
          <cell r="E158">
            <v>4.0999999999999996</v>
          </cell>
          <cell r="F158">
            <v>94.11</v>
          </cell>
          <cell r="G158">
            <v>1339434.8999999999</v>
          </cell>
          <cell r="H158">
            <v>75.599999999999994</v>
          </cell>
          <cell r="I158" t="e">
            <v>#N/A</v>
          </cell>
        </row>
        <row r="159">
          <cell r="A159">
            <v>39538</v>
          </cell>
          <cell r="B159">
            <v>81</v>
          </cell>
          <cell r="C159">
            <v>49.7</v>
          </cell>
          <cell r="D159">
            <v>35992</v>
          </cell>
          <cell r="E159">
            <v>3.9</v>
          </cell>
          <cell r="F159">
            <v>92.15</v>
          </cell>
          <cell r="G159">
            <v>1324032.7</v>
          </cell>
          <cell r="H159">
            <v>75.599999999999994</v>
          </cell>
          <cell r="I159" t="e">
            <v>#N/A</v>
          </cell>
        </row>
        <row r="160">
          <cell r="A160">
            <v>39507</v>
          </cell>
          <cell r="B160">
            <v>83</v>
          </cell>
          <cell r="C160">
            <v>48.8</v>
          </cell>
          <cell r="D160">
            <v>31178</v>
          </cell>
          <cell r="E160">
            <v>3.6</v>
          </cell>
          <cell r="F160">
            <v>90.97</v>
          </cell>
          <cell r="G160">
            <v>1309161.7</v>
          </cell>
          <cell r="H160">
            <v>75.7</v>
          </cell>
          <cell r="I160" t="e">
            <v>#N/A</v>
          </cell>
        </row>
        <row r="161">
          <cell r="A161">
            <v>39478</v>
          </cell>
          <cell r="B161">
            <v>83</v>
          </cell>
          <cell r="C161">
            <v>50.9</v>
          </cell>
          <cell r="D161">
            <v>32275</v>
          </cell>
          <cell r="E161">
            <v>3.9</v>
          </cell>
          <cell r="F161">
            <v>90.13</v>
          </cell>
          <cell r="G161">
            <v>1286407.8</v>
          </cell>
          <cell r="H161">
            <v>75.8</v>
          </cell>
          <cell r="I161" t="e">
            <v>#N/A</v>
          </cell>
        </row>
        <row r="162">
          <cell r="A162">
            <v>39447</v>
          </cell>
          <cell r="B162">
            <v>85</v>
          </cell>
          <cell r="C162">
            <v>50.1</v>
          </cell>
          <cell r="D162">
            <v>32999</v>
          </cell>
          <cell r="E162">
            <v>3.6</v>
          </cell>
          <cell r="F162">
            <v>89.63</v>
          </cell>
          <cell r="G162">
            <v>1269522.5</v>
          </cell>
          <cell r="H162">
            <v>75.8</v>
          </cell>
          <cell r="I162" t="e">
            <v>#N/A</v>
          </cell>
        </row>
        <row r="163">
          <cell r="A163">
            <v>39416</v>
          </cell>
          <cell r="B163">
            <v>88</v>
          </cell>
          <cell r="C163">
            <v>51.5</v>
          </cell>
          <cell r="D163">
            <v>35818</v>
          </cell>
          <cell r="E163">
            <v>3.5</v>
          </cell>
          <cell r="F163">
            <v>89.27</v>
          </cell>
          <cell r="G163">
            <v>1250790.1000000001</v>
          </cell>
          <cell r="H163">
            <v>75.5</v>
          </cell>
          <cell r="I163" t="e">
            <v>#N/A</v>
          </cell>
        </row>
        <row r="164">
          <cell r="A164">
            <v>39386</v>
          </cell>
          <cell r="B164">
            <v>87</v>
          </cell>
          <cell r="C164">
            <v>52.8</v>
          </cell>
          <cell r="D164">
            <v>34497</v>
          </cell>
          <cell r="E164">
            <v>3</v>
          </cell>
          <cell r="F164">
            <v>88.9</v>
          </cell>
          <cell r="G164">
            <v>1229742.1000000001</v>
          </cell>
          <cell r="H164">
            <v>75.2</v>
          </cell>
          <cell r="I164" t="e">
            <v>#N/A</v>
          </cell>
        </row>
        <row r="165">
          <cell r="A165">
            <v>39355</v>
          </cell>
          <cell r="B165">
            <v>87</v>
          </cell>
          <cell r="C165">
            <v>53.8</v>
          </cell>
          <cell r="D165">
            <v>29382</v>
          </cell>
          <cell r="E165">
            <v>2.2999999999999998</v>
          </cell>
          <cell r="F165">
            <v>88.72</v>
          </cell>
          <cell r="G165">
            <v>1219265.1000000001</v>
          </cell>
          <cell r="H165">
            <v>75</v>
          </cell>
          <cell r="I165" t="e">
            <v>#N/A</v>
          </cell>
        </row>
        <row r="166">
          <cell r="A166">
            <v>39325</v>
          </cell>
          <cell r="B166">
            <v>85</v>
          </cell>
          <cell r="C166">
            <v>52.2</v>
          </cell>
          <cell r="D166">
            <v>31013</v>
          </cell>
          <cell r="E166">
            <v>2</v>
          </cell>
          <cell r="F166">
            <v>88.3</v>
          </cell>
          <cell r="G166">
            <v>1208052.8</v>
          </cell>
          <cell r="H166">
            <v>74.7</v>
          </cell>
          <cell r="I166" t="e">
            <v>#N/A</v>
          </cell>
        </row>
        <row r="167">
          <cell r="A167">
            <v>39294</v>
          </cell>
          <cell r="B167">
            <v>87</v>
          </cell>
          <cell r="C167">
            <v>51.8</v>
          </cell>
          <cell r="D167">
            <v>30220</v>
          </cell>
          <cell r="E167">
            <v>2.5</v>
          </cell>
          <cell r="F167">
            <v>88.35</v>
          </cell>
          <cell r="G167">
            <v>1200892.7</v>
          </cell>
          <cell r="H167">
            <v>74.3</v>
          </cell>
          <cell r="I167" t="e">
            <v>#N/A</v>
          </cell>
        </row>
        <row r="168">
          <cell r="A168">
            <v>39263</v>
          </cell>
          <cell r="B168">
            <v>88</v>
          </cell>
          <cell r="C168">
            <v>54</v>
          </cell>
          <cell r="D168">
            <v>31997</v>
          </cell>
          <cell r="E168">
            <v>2.5</v>
          </cell>
          <cell r="F168">
            <v>88.24</v>
          </cell>
          <cell r="G168">
            <v>1190080.2</v>
          </cell>
          <cell r="H168">
            <v>73.8</v>
          </cell>
          <cell r="I168" t="e">
            <v>#N/A</v>
          </cell>
        </row>
        <row r="169">
          <cell r="A169">
            <v>39233</v>
          </cell>
          <cell r="B169">
            <v>88</v>
          </cell>
          <cell r="C169">
            <v>53.1</v>
          </cell>
          <cell r="D169">
            <v>31046</v>
          </cell>
          <cell r="E169">
            <v>2.2999999999999998</v>
          </cell>
          <cell r="F169">
            <v>88.06</v>
          </cell>
          <cell r="G169">
            <v>1171148.3999999999</v>
          </cell>
          <cell r="H169">
            <v>73.3</v>
          </cell>
          <cell r="I169" t="e">
            <v>#N/A</v>
          </cell>
        </row>
        <row r="170">
          <cell r="A170">
            <v>39202</v>
          </cell>
          <cell r="B170">
            <v>87</v>
          </cell>
          <cell r="C170">
            <v>52.7</v>
          </cell>
          <cell r="D170">
            <v>29948</v>
          </cell>
          <cell r="E170">
            <v>2.4</v>
          </cell>
          <cell r="F170">
            <v>87.57</v>
          </cell>
          <cell r="G170">
            <v>1165291</v>
          </cell>
          <cell r="H170">
            <v>73</v>
          </cell>
          <cell r="I170" t="e">
            <v>#N/A</v>
          </cell>
        </row>
        <row r="171">
          <cell r="A171">
            <v>39172</v>
          </cell>
          <cell r="B171">
            <v>85</v>
          </cell>
          <cell r="C171">
            <v>52.8</v>
          </cell>
          <cell r="D171">
            <v>30389</v>
          </cell>
          <cell r="E171">
            <v>2.2000000000000002</v>
          </cell>
          <cell r="F171">
            <v>86.96</v>
          </cell>
          <cell r="G171">
            <v>1162429.3</v>
          </cell>
          <cell r="H171">
            <v>72.7</v>
          </cell>
          <cell r="I171" t="e">
            <v>#N/A</v>
          </cell>
        </row>
        <row r="172">
          <cell r="A172">
            <v>39141</v>
          </cell>
          <cell r="B172">
            <v>81</v>
          </cell>
          <cell r="C172">
            <v>54.1</v>
          </cell>
          <cell r="D172">
            <v>26227</v>
          </cell>
          <cell r="E172">
            <v>2.2000000000000002</v>
          </cell>
          <cell r="F172">
            <v>86.59</v>
          </cell>
          <cell r="G172">
            <v>1154108.8</v>
          </cell>
          <cell r="H172">
            <v>72.5</v>
          </cell>
          <cell r="I172" t="e">
            <v>#N/A</v>
          </cell>
        </row>
        <row r="173">
          <cell r="A173">
            <v>39113</v>
          </cell>
          <cell r="B173">
            <v>79</v>
          </cell>
          <cell r="C173">
            <v>50.4</v>
          </cell>
          <cell r="D173">
            <v>28097</v>
          </cell>
          <cell r="E173">
            <v>1.7</v>
          </cell>
          <cell r="F173">
            <v>86.54</v>
          </cell>
          <cell r="G173">
            <v>1143814.8999999999</v>
          </cell>
          <cell r="H173">
            <v>72.2</v>
          </cell>
          <cell r="I173" t="e">
            <v>#N/A</v>
          </cell>
        </row>
        <row r="174">
          <cell r="A174">
            <v>39082</v>
          </cell>
          <cell r="B174">
            <v>84</v>
          </cell>
          <cell r="C174">
            <v>51.4</v>
          </cell>
          <cell r="D174">
            <v>28775</v>
          </cell>
          <cell r="E174">
            <v>2.1</v>
          </cell>
          <cell r="F174">
            <v>86.53</v>
          </cell>
          <cell r="G174">
            <v>1138295.5</v>
          </cell>
          <cell r="H174">
            <v>71.900000000000006</v>
          </cell>
          <cell r="I174" t="e">
            <v>#N/A</v>
          </cell>
        </row>
        <row r="175">
          <cell r="A175">
            <v>39051</v>
          </cell>
          <cell r="B175">
            <v>83</v>
          </cell>
          <cell r="C175">
            <v>50.3</v>
          </cell>
          <cell r="D175">
            <v>30661</v>
          </cell>
          <cell r="E175">
            <v>2.1</v>
          </cell>
          <cell r="F175">
            <v>86.61</v>
          </cell>
          <cell r="G175">
            <v>1123714.6000000001</v>
          </cell>
          <cell r="H175">
            <v>71.8</v>
          </cell>
          <cell r="I175" t="e">
            <v>#N/A</v>
          </cell>
        </row>
        <row r="176">
          <cell r="A176">
            <v>39021</v>
          </cell>
          <cell r="B176">
            <v>84</v>
          </cell>
          <cell r="C176">
            <v>51.4</v>
          </cell>
          <cell r="D176">
            <v>28093</v>
          </cell>
          <cell r="E176">
            <v>2.2000000000000002</v>
          </cell>
          <cell r="F176">
            <v>87.03</v>
          </cell>
          <cell r="G176">
            <v>1110360.8999999999</v>
          </cell>
          <cell r="H176">
            <v>71.5</v>
          </cell>
          <cell r="I176" t="e">
            <v>#N/A</v>
          </cell>
        </row>
        <row r="177">
          <cell r="A177">
            <v>38990</v>
          </cell>
          <cell r="B177">
            <v>81</v>
          </cell>
          <cell r="C177">
            <v>52.2</v>
          </cell>
          <cell r="D177">
            <v>29744</v>
          </cell>
          <cell r="E177">
            <v>2.5</v>
          </cell>
          <cell r="F177">
            <v>87.84</v>
          </cell>
          <cell r="G177">
            <v>1098444.2</v>
          </cell>
          <cell r="H177">
            <v>71</v>
          </cell>
          <cell r="I177" t="e">
            <v>#N/A</v>
          </cell>
        </row>
        <row r="178">
          <cell r="A178">
            <v>38960</v>
          </cell>
          <cell r="B178">
            <v>72</v>
          </cell>
          <cell r="C178">
            <v>53.7</v>
          </cell>
          <cell r="D178">
            <v>27456</v>
          </cell>
          <cell r="E178">
            <v>2.7</v>
          </cell>
          <cell r="F178">
            <v>87.55</v>
          </cell>
          <cell r="G178">
            <v>1084752.6000000001</v>
          </cell>
          <cell r="H178">
            <v>70.599999999999994</v>
          </cell>
          <cell r="I178" t="e">
            <v>#N/A</v>
          </cell>
        </row>
        <row r="179">
          <cell r="A179">
            <v>38929</v>
          </cell>
          <cell r="B179">
            <v>77</v>
          </cell>
          <cell r="C179">
            <v>53</v>
          </cell>
          <cell r="D179">
            <v>26018</v>
          </cell>
          <cell r="E179">
            <v>2.4</v>
          </cell>
          <cell r="F179">
            <v>86.99</v>
          </cell>
          <cell r="G179">
            <v>1082577.5</v>
          </cell>
          <cell r="H179">
            <v>70.7</v>
          </cell>
          <cell r="I179" t="e">
            <v>#N/A</v>
          </cell>
        </row>
        <row r="180">
          <cell r="A180">
            <v>38898</v>
          </cell>
          <cell r="B180">
            <v>82</v>
          </cell>
          <cell r="C180">
            <v>52</v>
          </cell>
          <cell r="D180">
            <v>28111</v>
          </cell>
          <cell r="E180">
            <v>2.4</v>
          </cell>
          <cell r="F180">
            <v>86.72</v>
          </cell>
          <cell r="G180">
            <v>1072886.5</v>
          </cell>
          <cell r="H180">
            <v>70.8</v>
          </cell>
          <cell r="I180" t="e">
            <v>#N/A</v>
          </cell>
        </row>
        <row r="181">
          <cell r="A181">
            <v>38868</v>
          </cell>
          <cell r="B181">
            <v>83</v>
          </cell>
          <cell r="C181">
            <v>53.7</v>
          </cell>
          <cell r="D181">
            <v>27822</v>
          </cell>
          <cell r="E181">
            <v>2.2999999999999998</v>
          </cell>
          <cell r="F181">
            <v>86.88</v>
          </cell>
          <cell r="G181">
            <v>1055855.3999999999</v>
          </cell>
          <cell r="H181">
            <v>70.8</v>
          </cell>
          <cell r="I181" t="e">
            <v>#N/A</v>
          </cell>
        </row>
        <row r="182">
          <cell r="A182">
            <v>38837</v>
          </cell>
          <cell r="B182">
            <v>87</v>
          </cell>
          <cell r="C182">
            <v>55.2</v>
          </cell>
          <cell r="D182">
            <v>25554</v>
          </cell>
          <cell r="E182">
            <v>2</v>
          </cell>
          <cell r="F182">
            <v>86.58</v>
          </cell>
          <cell r="G182">
            <v>1048598.6000000001</v>
          </cell>
          <cell r="H182">
            <v>70.599999999999994</v>
          </cell>
          <cell r="I182" t="e">
            <v>#N/A</v>
          </cell>
        </row>
        <row r="183">
          <cell r="A183">
            <v>38807</v>
          </cell>
          <cell r="B183">
            <v>85</v>
          </cell>
          <cell r="C183">
            <v>54.3</v>
          </cell>
          <cell r="D183">
            <v>26855</v>
          </cell>
          <cell r="E183">
            <v>2</v>
          </cell>
          <cell r="F183">
            <v>86.42</v>
          </cell>
          <cell r="G183">
            <v>1042293.6</v>
          </cell>
          <cell r="H183">
            <v>70.599999999999994</v>
          </cell>
          <cell r="I183" t="e">
            <v>#N/A</v>
          </cell>
        </row>
        <row r="184">
          <cell r="A184">
            <v>38776</v>
          </cell>
          <cell r="B184">
            <v>82</v>
          </cell>
          <cell r="C184">
            <v>55.8</v>
          </cell>
          <cell r="D184">
            <v>23785</v>
          </cell>
          <cell r="E184">
            <v>2</v>
          </cell>
          <cell r="F184">
            <v>86.53</v>
          </cell>
          <cell r="G184">
            <v>1034711.9</v>
          </cell>
          <cell r="H184">
            <v>70.5</v>
          </cell>
          <cell r="I184" t="e">
            <v>#N/A</v>
          </cell>
        </row>
        <row r="185">
          <cell r="A185">
            <v>38748</v>
          </cell>
          <cell r="B185">
            <v>87</v>
          </cell>
          <cell r="C185">
            <v>55</v>
          </cell>
          <cell r="D185">
            <v>23249</v>
          </cell>
          <cell r="E185">
            <v>2.2000000000000002</v>
          </cell>
          <cell r="F185">
            <v>86.49</v>
          </cell>
          <cell r="G185">
            <v>1027697.4</v>
          </cell>
          <cell r="H185">
            <v>70.400000000000006</v>
          </cell>
          <cell r="I185" t="e">
            <v>#N/A</v>
          </cell>
        </row>
        <row r="186">
          <cell r="A186">
            <v>38717</v>
          </cell>
          <cell r="B186">
            <v>87</v>
          </cell>
          <cell r="C186">
            <v>55.1</v>
          </cell>
          <cell r="D186" t="e">
            <v>#N/A</v>
          </cell>
          <cell r="E186">
            <v>2.6</v>
          </cell>
          <cell r="F186">
            <v>86.19</v>
          </cell>
          <cell r="G186">
            <v>1021591.6</v>
          </cell>
          <cell r="H186">
            <v>69.900000000000006</v>
          </cell>
          <cell r="I186" t="e">
            <v>#N/A</v>
          </cell>
        </row>
        <row r="187">
          <cell r="A187">
            <v>38686</v>
          </cell>
          <cell r="B187">
            <v>83</v>
          </cell>
          <cell r="C187">
            <v>56.7</v>
          </cell>
          <cell r="D187" t="e">
            <v>#N/A</v>
          </cell>
          <cell r="E187">
            <v>2.5</v>
          </cell>
          <cell r="F187">
            <v>86.44</v>
          </cell>
          <cell r="G187">
            <v>1011582.7</v>
          </cell>
          <cell r="H187">
            <v>69.5</v>
          </cell>
          <cell r="I187" t="e">
            <v>#N/A</v>
          </cell>
        </row>
        <row r="188">
          <cell r="A188">
            <v>38656</v>
          </cell>
          <cell r="B188">
            <v>82</v>
          </cell>
          <cell r="C188">
            <v>57.2</v>
          </cell>
          <cell r="D188" t="e">
            <v>#N/A</v>
          </cell>
          <cell r="E188">
            <v>2.2999999999999998</v>
          </cell>
          <cell r="F188">
            <v>86.69</v>
          </cell>
          <cell r="G188">
            <v>1008215.2</v>
          </cell>
          <cell r="H188">
            <v>69</v>
          </cell>
          <cell r="I188" t="e">
            <v>#N/A</v>
          </cell>
        </row>
        <row r="189">
          <cell r="A189">
            <v>38625</v>
          </cell>
          <cell r="B189">
            <v>79</v>
          </cell>
          <cell r="C189">
            <v>56.8</v>
          </cell>
          <cell r="D189" t="e">
            <v>#N/A</v>
          </cell>
          <cell r="E189">
            <v>2.5</v>
          </cell>
          <cell r="F189">
            <v>86.46</v>
          </cell>
          <cell r="G189">
            <v>1008223.6</v>
          </cell>
          <cell r="H189">
            <v>68.5</v>
          </cell>
          <cell r="I189" t="e">
            <v>#N/A</v>
          </cell>
        </row>
        <row r="190">
          <cell r="A190">
            <v>38595</v>
          </cell>
          <cell r="B190">
            <v>76</v>
          </cell>
          <cell r="C190">
            <v>52.4</v>
          </cell>
          <cell r="D190" t="e">
            <v>#N/A</v>
          </cell>
          <cell r="E190">
            <v>2</v>
          </cell>
          <cell r="F190">
            <v>86.08</v>
          </cell>
          <cell r="G190">
            <v>1008802</v>
          </cell>
          <cell r="H190">
            <v>68.2</v>
          </cell>
          <cell r="I190" t="e">
            <v>#N/A</v>
          </cell>
        </row>
        <row r="191">
          <cell r="A191">
            <v>38564</v>
          </cell>
          <cell r="B191">
            <v>76</v>
          </cell>
          <cell r="C191">
            <v>52.8</v>
          </cell>
          <cell r="D191" t="e">
            <v>#N/A</v>
          </cell>
          <cell r="E191">
            <v>2.6</v>
          </cell>
          <cell r="F191">
            <v>85.84</v>
          </cell>
          <cell r="G191">
            <v>1004960.2</v>
          </cell>
          <cell r="H191">
            <v>67.400000000000006</v>
          </cell>
          <cell r="I191" t="e">
            <v>#N/A</v>
          </cell>
        </row>
        <row r="192">
          <cell r="A192">
            <v>38533</v>
          </cell>
          <cell r="B192">
            <v>78</v>
          </cell>
          <cell r="C192">
            <v>52.4</v>
          </cell>
          <cell r="D192" t="e">
            <v>#N/A</v>
          </cell>
          <cell r="E192">
            <v>2.8</v>
          </cell>
          <cell r="F192">
            <v>85.32</v>
          </cell>
          <cell r="G192">
            <v>995904.3</v>
          </cell>
          <cell r="H192">
            <v>67</v>
          </cell>
          <cell r="I192" t="e">
            <v>#N/A</v>
          </cell>
        </row>
        <row r="193">
          <cell r="A193">
            <v>38503</v>
          </cell>
          <cell r="B193">
            <v>80</v>
          </cell>
          <cell r="C193">
            <v>50.8</v>
          </cell>
          <cell r="D193" t="e">
            <v>#N/A</v>
          </cell>
          <cell r="E193">
            <v>3.1</v>
          </cell>
          <cell r="F193">
            <v>85.71</v>
          </cell>
          <cell r="G193">
            <v>985474.4</v>
          </cell>
          <cell r="H193">
            <v>67</v>
          </cell>
          <cell r="I193" t="e">
            <v>#N/A</v>
          </cell>
        </row>
        <row r="194">
          <cell r="A194">
            <v>38472</v>
          </cell>
          <cell r="B194">
            <v>84</v>
          </cell>
          <cell r="C194">
            <v>52.2</v>
          </cell>
          <cell r="D194" t="e">
            <v>#N/A</v>
          </cell>
          <cell r="E194">
            <v>3.1</v>
          </cell>
          <cell r="F194">
            <v>86.27</v>
          </cell>
          <cell r="G194">
            <v>982103.7</v>
          </cell>
          <cell r="H194">
            <v>67</v>
          </cell>
          <cell r="I194" t="e">
            <v>#N/A</v>
          </cell>
        </row>
        <row r="195">
          <cell r="A195">
            <v>38442</v>
          </cell>
          <cell r="B195">
            <v>83</v>
          </cell>
          <cell r="C195">
            <v>55.2</v>
          </cell>
          <cell r="D195" t="e">
            <v>#N/A</v>
          </cell>
          <cell r="E195">
            <v>3</v>
          </cell>
          <cell r="F195">
            <v>86.03</v>
          </cell>
          <cell r="G195">
            <v>977425</v>
          </cell>
          <cell r="H195">
            <v>66.7</v>
          </cell>
          <cell r="I195" t="e">
            <v>#N/A</v>
          </cell>
        </row>
        <row r="196">
          <cell r="A196">
            <v>38411</v>
          </cell>
          <cell r="B196">
            <v>76</v>
          </cell>
          <cell r="C196">
            <v>55.5</v>
          </cell>
          <cell r="D196" t="e">
            <v>#N/A</v>
          </cell>
          <cell r="E196">
            <v>3.4</v>
          </cell>
          <cell r="F196">
            <v>85.95</v>
          </cell>
          <cell r="G196">
            <v>965151.9</v>
          </cell>
          <cell r="H196">
            <v>66.2</v>
          </cell>
          <cell r="I196" t="e">
            <v>#N/A</v>
          </cell>
        </row>
        <row r="197">
          <cell r="A197">
            <v>38383</v>
          </cell>
          <cell r="B197">
            <v>71</v>
          </cell>
          <cell r="C197">
            <v>56.8</v>
          </cell>
          <cell r="D197" t="e">
            <v>#N/A</v>
          </cell>
          <cell r="E197">
            <v>3.4</v>
          </cell>
          <cell r="F197">
            <v>85.78</v>
          </cell>
          <cell r="G197">
            <v>958086.2</v>
          </cell>
          <cell r="H197">
            <v>65.8</v>
          </cell>
          <cell r="I197" t="e">
            <v>#N/A</v>
          </cell>
        </row>
        <row r="198">
          <cell r="A198">
            <v>38352</v>
          </cell>
          <cell r="B198">
            <v>70</v>
          </cell>
          <cell r="C198">
            <v>57.2</v>
          </cell>
          <cell r="D198" t="e">
            <v>#N/A</v>
          </cell>
          <cell r="E198">
            <v>3</v>
          </cell>
          <cell r="F198">
            <v>84.96</v>
          </cell>
          <cell r="G198">
            <v>954714</v>
          </cell>
          <cell r="H198">
            <v>65.7</v>
          </cell>
          <cell r="I198" t="e">
            <v>#N/A</v>
          </cell>
        </row>
        <row r="199">
          <cell r="A199">
            <v>38321</v>
          </cell>
          <cell r="B199">
            <v>71</v>
          </cell>
          <cell r="C199">
            <v>56.2</v>
          </cell>
          <cell r="D199" t="e">
            <v>#N/A</v>
          </cell>
          <cell r="E199">
            <v>3.3</v>
          </cell>
          <cell r="F199">
            <v>85.59</v>
          </cell>
          <cell r="G199">
            <v>948780.2</v>
          </cell>
          <cell r="H199">
            <v>65.599999999999994</v>
          </cell>
          <cell r="I199" t="e">
            <v>#N/A</v>
          </cell>
        </row>
        <row r="200">
          <cell r="A200">
            <v>38291</v>
          </cell>
          <cell r="B200">
            <v>72</v>
          </cell>
          <cell r="C200">
            <v>56.3</v>
          </cell>
          <cell r="D200" t="e">
            <v>#N/A</v>
          </cell>
          <cell r="E200">
            <v>3.8</v>
          </cell>
          <cell r="F200">
            <v>85.53</v>
          </cell>
          <cell r="G200">
            <v>946832.6</v>
          </cell>
          <cell r="H200">
            <v>65.5</v>
          </cell>
          <cell r="I200" t="e">
            <v>#N/A</v>
          </cell>
        </row>
        <row r="201">
          <cell r="A201">
            <v>38260</v>
          </cell>
          <cell r="B201">
            <v>72</v>
          </cell>
          <cell r="C201">
            <v>57.4</v>
          </cell>
          <cell r="D201" t="e">
            <v>#N/A</v>
          </cell>
          <cell r="E201">
            <v>3.9</v>
          </cell>
          <cell r="F201">
            <v>85.49</v>
          </cell>
          <cell r="G201">
            <v>946264.9</v>
          </cell>
          <cell r="H201">
            <v>65.2</v>
          </cell>
          <cell r="I201" t="e">
            <v>#N/A</v>
          </cell>
        </row>
        <row r="202">
          <cell r="A202">
            <v>38230</v>
          </cell>
          <cell r="B202">
            <v>68</v>
          </cell>
          <cell r="C202">
            <v>58.5</v>
          </cell>
          <cell r="D202" t="e">
            <v>#N/A</v>
          </cell>
          <cell r="E202">
            <v>4.8</v>
          </cell>
          <cell r="F202">
            <v>85.14</v>
          </cell>
          <cell r="G202">
            <v>936302.7</v>
          </cell>
          <cell r="H202">
            <v>65.099999999999994</v>
          </cell>
          <cell r="I202" t="e">
            <v>#N/A</v>
          </cell>
        </row>
        <row r="203">
          <cell r="A203">
            <v>38199</v>
          </cell>
          <cell r="B203">
            <v>67</v>
          </cell>
          <cell r="C203">
            <v>59.9</v>
          </cell>
          <cell r="D203" t="e">
            <v>#N/A</v>
          </cell>
          <cell r="E203">
            <v>4.4000000000000004</v>
          </cell>
          <cell r="F203">
            <v>84.4</v>
          </cell>
          <cell r="G203">
            <v>931581.5</v>
          </cell>
          <cell r="H203">
            <v>65.099999999999994</v>
          </cell>
          <cell r="I203" t="e">
            <v>#N/A</v>
          </cell>
        </row>
        <row r="204">
          <cell r="A204">
            <v>38168</v>
          </cell>
          <cell r="B204">
            <v>76</v>
          </cell>
          <cell r="C204">
            <v>60.5</v>
          </cell>
          <cell r="D204" t="e">
            <v>#N/A</v>
          </cell>
          <cell r="E204">
            <v>3.6</v>
          </cell>
          <cell r="F204">
            <v>84.06</v>
          </cell>
          <cell r="G204">
            <v>927101.8</v>
          </cell>
          <cell r="H204">
            <v>65.099999999999994</v>
          </cell>
          <cell r="I204" t="e">
            <v>#N/A</v>
          </cell>
        </row>
        <row r="205">
          <cell r="A205">
            <v>38138</v>
          </cell>
          <cell r="B205">
            <v>79</v>
          </cell>
          <cell r="C205">
            <v>61.4</v>
          </cell>
          <cell r="D205" t="e">
            <v>#N/A</v>
          </cell>
          <cell r="E205">
            <v>3.3</v>
          </cell>
          <cell r="F205">
            <v>84.14</v>
          </cell>
          <cell r="G205">
            <v>921252</v>
          </cell>
          <cell r="H205">
            <v>65.099999999999994</v>
          </cell>
          <cell r="I205" t="e">
            <v>#N/A</v>
          </cell>
        </row>
        <row r="206">
          <cell r="A206">
            <v>38107</v>
          </cell>
          <cell r="B206">
            <v>88</v>
          </cell>
          <cell r="C206">
            <v>60.6</v>
          </cell>
          <cell r="D206" t="e">
            <v>#N/A</v>
          </cell>
          <cell r="E206">
            <v>3.3</v>
          </cell>
          <cell r="F206">
            <v>83.94</v>
          </cell>
          <cell r="G206">
            <v>918329.7</v>
          </cell>
          <cell r="H206">
            <v>65.099999999999994</v>
          </cell>
          <cell r="I206" t="e">
            <v>#N/A</v>
          </cell>
        </row>
        <row r="207">
          <cell r="A207">
            <v>38077</v>
          </cell>
          <cell r="B207">
            <v>79</v>
          </cell>
          <cell r="C207">
            <v>60.6</v>
          </cell>
          <cell r="D207" t="e">
            <v>#N/A</v>
          </cell>
          <cell r="E207">
            <v>3.1</v>
          </cell>
          <cell r="F207">
            <v>83.54</v>
          </cell>
          <cell r="G207">
            <v>916675.5</v>
          </cell>
          <cell r="H207">
            <v>64.900000000000006</v>
          </cell>
          <cell r="I207" t="e">
            <v>#N/A</v>
          </cell>
        </row>
        <row r="208">
          <cell r="A208">
            <v>38046</v>
          </cell>
          <cell r="B208">
            <v>76</v>
          </cell>
          <cell r="C208">
            <v>59.9</v>
          </cell>
          <cell r="D208" t="e">
            <v>#N/A</v>
          </cell>
          <cell r="E208">
            <v>3.3</v>
          </cell>
          <cell r="F208">
            <v>82.74</v>
          </cell>
          <cell r="G208">
            <v>906803.8</v>
          </cell>
          <cell r="H208">
            <v>64.599999999999994</v>
          </cell>
          <cell r="I208" t="e">
            <v>#N/A</v>
          </cell>
        </row>
        <row r="209">
          <cell r="A209">
            <v>38017</v>
          </cell>
          <cell r="B209">
            <v>77</v>
          </cell>
          <cell r="C209">
            <v>60.8</v>
          </cell>
          <cell r="D209" t="e">
            <v>#N/A</v>
          </cell>
          <cell r="E209">
            <v>3.4</v>
          </cell>
          <cell r="F209">
            <v>81.72</v>
          </cell>
          <cell r="G209">
            <v>901048.5</v>
          </cell>
          <cell r="H209">
            <v>64.3</v>
          </cell>
          <cell r="I209" t="e">
            <v>#N/A</v>
          </cell>
        </row>
        <row r="210">
          <cell r="A210">
            <v>37986</v>
          </cell>
          <cell r="B210">
            <v>81</v>
          </cell>
          <cell r="C210">
            <v>60.1</v>
          </cell>
          <cell r="D210" t="e">
            <v>#N/A</v>
          </cell>
          <cell r="E210">
            <v>3.4</v>
          </cell>
          <cell r="F210">
            <v>80.62</v>
          </cell>
          <cell r="G210">
            <v>901818.6</v>
          </cell>
          <cell r="H210">
            <v>63.9</v>
          </cell>
          <cell r="I210" t="e">
            <v>#N/A</v>
          </cell>
        </row>
        <row r="211">
          <cell r="A211">
            <v>37955</v>
          </cell>
          <cell r="B211">
            <v>80</v>
          </cell>
          <cell r="C211">
            <v>58.4</v>
          </cell>
          <cell r="D211" t="e">
            <v>#N/A</v>
          </cell>
          <cell r="E211">
            <v>3.4</v>
          </cell>
          <cell r="F211">
            <v>80.099999999999994</v>
          </cell>
          <cell r="G211">
            <v>896674.7</v>
          </cell>
          <cell r="H211">
            <v>63.7</v>
          </cell>
          <cell r="I211" t="e">
            <v>#N/A</v>
          </cell>
        </row>
        <row r="212">
          <cell r="A212">
            <v>37925</v>
          </cell>
          <cell r="B212">
            <v>77</v>
          </cell>
          <cell r="C212">
            <v>55.2</v>
          </cell>
          <cell r="D212" t="e">
            <v>#N/A</v>
          </cell>
          <cell r="E212">
            <v>3.7</v>
          </cell>
          <cell r="F212">
            <v>79.73</v>
          </cell>
          <cell r="G212">
            <v>885171.7</v>
          </cell>
          <cell r="H212">
            <v>63.5</v>
          </cell>
          <cell r="I212" t="e">
            <v>#N/A</v>
          </cell>
        </row>
        <row r="213">
          <cell r="A213">
            <v>37894</v>
          </cell>
          <cell r="B213">
            <v>70</v>
          </cell>
          <cell r="C213">
            <v>52.4</v>
          </cell>
          <cell r="D213" t="e">
            <v>#N/A</v>
          </cell>
          <cell r="E213">
            <v>3.3</v>
          </cell>
          <cell r="F213">
            <v>79.5</v>
          </cell>
          <cell r="G213">
            <v>891154.2</v>
          </cell>
          <cell r="H213">
            <v>63</v>
          </cell>
          <cell r="I213" t="e">
            <v>#N/A</v>
          </cell>
        </row>
        <row r="214">
          <cell r="A214">
            <v>37864</v>
          </cell>
          <cell r="B214">
            <v>68</v>
          </cell>
          <cell r="C214">
            <v>53.2</v>
          </cell>
          <cell r="D214" t="e">
            <v>#N/A</v>
          </cell>
          <cell r="E214">
            <v>3</v>
          </cell>
          <cell r="F214">
            <v>79.17</v>
          </cell>
          <cell r="G214">
            <v>886880.8</v>
          </cell>
          <cell r="H214">
            <v>62.7</v>
          </cell>
          <cell r="I214" t="e">
            <v>#N/A</v>
          </cell>
        </row>
        <row r="215">
          <cell r="A215">
            <v>37833</v>
          </cell>
          <cell r="B215">
            <v>66</v>
          </cell>
          <cell r="C215">
            <v>51</v>
          </cell>
          <cell r="D215" t="e">
            <v>#N/A</v>
          </cell>
          <cell r="E215">
            <v>3.2</v>
          </cell>
          <cell r="F215">
            <v>78.88</v>
          </cell>
          <cell r="G215">
            <v>886242.9</v>
          </cell>
          <cell r="H215">
            <v>62.2</v>
          </cell>
          <cell r="I215" t="e">
            <v>#N/A</v>
          </cell>
        </row>
        <row r="216">
          <cell r="A216">
            <v>37802</v>
          </cell>
          <cell r="B216">
            <v>71</v>
          </cell>
          <cell r="C216">
            <v>49</v>
          </cell>
          <cell r="D216" t="e">
            <v>#N/A</v>
          </cell>
          <cell r="E216">
            <v>3</v>
          </cell>
          <cell r="F216">
            <v>78.739999999999995</v>
          </cell>
          <cell r="G216">
            <v>886769.4</v>
          </cell>
          <cell r="H216">
            <v>62</v>
          </cell>
          <cell r="I216" t="e">
            <v>#N/A</v>
          </cell>
        </row>
        <row r="217">
          <cell r="A217">
            <v>37772</v>
          </cell>
          <cell r="B217">
            <v>74</v>
          </cell>
          <cell r="C217">
            <v>49</v>
          </cell>
          <cell r="D217" t="e">
            <v>#N/A</v>
          </cell>
          <cell r="E217">
            <v>3.2</v>
          </cell>
          <cell r="F217">
            <v>79.12</v>
          </cell>
          <cell r="G217">
            <v>886410.8</v>
          </cell>
          <cell r="H217">
            <v>61.6</v>
          </cell>
          <cell r="I217" t="e">
            <v>#N/A</v>
          </cell>
        </row>
        <row r="218">
          <cell r="A218">
            <v>37741</v>
          </cell>
          <cell r="B218">
            <v>76</v>
          </cell>
          <cell r="C218">
            <v>46.1</v>
          </cell>
          <cell r="D218" t="e">
            <v>#N/A</v>
          </cell>
          <cell r="E218">
            <v>3.7</v>
          </cell>
          <cell r="F218">
            <v>79.56</v>
          </cell>
          <cell r="G218">
            <v>890351.6</v>
          </cell>
          <cell r="H218">
            <v>61.5</v>
          </cell>
          <cell r="I218" t="e">
            <v>#N/A</v>
          </cell>
        </row>
        <row r="219">
          <cell r="A219">
            <v>37711</v>
          </cell>
          <cell r="B219">
            <v>71</v>
          </cell>
          <cell r="C219">
            <v>46.3</v>
          </cell>
          <cell r="D219" t="e">
            <v>#N/A</v>
          </cell>
          <cell r="E219">
            <v>4.5</v>
          </cell>
          <cell r="F219">
            <v>79.959999999999994</v>
          </cell>
          <cell r="G219">
            <v>892494.8</v>
          </cell>
          <cell r="H219">
            <v>61.6</v>
          </cell>
          <cell r="I219" t="e">
            <v>#N/A</v>
          </cell>
        </row>
        <row r="220">
          <cell r="A220">
            <v>37680</v>
          </cell>
          <cell r="B220">
            <v>73</v>
          </cell>
          <cell r="C220">
            <v>48.8</v>
          </cell>
          <cell r="D220" t="e">
            <v>#N/A</v>
          </cell>
          <cell r="E220">
            <v>3.9</v>
          </cell>
          <cell r="F220">
            <v>79.19</v>
          </cell>
          <cell r="G220">
            <v>883643</v>
          </cell>
          <cell r="H220">
            <v>61.5</v>
          </cell>
          <cell r="I220" t="e">
            <v>#N/A</v>
          </cell>
        </row>
        <row r="221">
          <cell r="A221">
            <v>37652</v>
          </cell>
          <cell r="B221">
            <v>82</v>
          </cell>
          <cell r="C221">
            <v>51.3</v>
          </cell>
          <cell r="D221" t="e">
            <v>#N/A</v>
          </cell>
          <cell r="E221">
            <v>3.8</v>
          </cell>
          <cell r="F221">
            <v>78.77</v>
          </cell>
          <cell r="G221">
            <v>880250.7</v>
          </cell>
          <cell r="H221">
            <v>61.5</v>
          </cell>
          <cell r="I221" t="e">
            <v>#N/A</v>
          </cell>
        </row>
        <row r="222">
          <cell r="A222">
            <v>37621</v>
          </cell>
          <cell r="B222" t="e">
            <v>#N/A</v>
          </cell>
          <cell r="C222">
            <v>51.6</v>
          </cell>
          <cell r="D222" t="e">
            <v>#N/A</v>
          </cell>
          <cell r="E222">
            <v>3.7</v>
          </cell>
          <cell r="F222">
            <v>78.180000000000007</v>
          </cell>
          <cell r="G222">
            <v>875405.5</v>
          </cell>
          <cell r="H222">
            <v>61.4</v>
          </cell>
          <cell r="I222" t="e">
            <v>#N/A</v>
          </cell>
        </row>
        <row r="223">
          <cell r="A223">
            <v>37590</v>
          </cell>
          <cell r="B223" t="e">
            <v>#N/A</v>
          </cell>
          <cell r="C223">
            <v>48.5</v>
          </cell>
          <cell r="D223" t="e">
            <v>#N/A</v>
          </cell>
          <cell r="E223">
            <v>3.5</v>
          </cell>
          <cell r="F223">
            <v>78.17</v>
          </cell>
          <cell r="G223">
            <v>868756.6</v>
          </cell>
          <cell r="H223">
            <v>61.2</v>
          </cell>
          <cell r="I223" t="e">
            <v>#N/A</v>
          </cell>
        </row>
        <row r="224">
          <cell r="A224">
            <v>37560</v>
          </cell>
          <cell r="B224" t="e">
            <v>#N/A</v>
          </cell>
          <cell r="C224">
            <v>49</v>
          </cell>
          <cell r="D224" t="e">
            <v>#N/A</v>
          </cell>
          <cell r="E224">
            <v>2.8</v>
          </cell>
          <cell r="F224">
            <v>78.010000000000005</v>
          </cell>
          <cell r="G224">
            <v>853092.8</v>
          </cell>
          <cell r="H224">
            <v>61.1</v>
          </cell>
          <cell r="I224" t="e">
            <v>#N/A</v>
          </cell>
        </row>
        <row r="225">
          <cell r="A225">
            <v>37529</v>
          </cell>
          <cell r="B225" t="e">
            <v>#N/A</v>
          </cell>
          <cell r="C225">
            <v>50.5</v>
          </cell>
          <cell r="D225" t="e">
            <v>#N/A</v>
          </cell>
          <cell r="E225">
            <v>3.1</v>
          </cell>
          <cell r="F225">
            <v>77.91</v>
          </cell>
          <cell r="G225">
            <v>842512</v>
          </cell>
          <cell r="H225">
            <v>61.4</v>
          </cell>
          <cell r="I225" t="e">
            <v>#N/A</v>
          </cell>
        </row>
        <row r="226">
          <cell r="A226">
            <v>37499</v>
          </cell>
          <cell r="B226" t="e">
            <v>#N/A</v>
          </cell>
          <cell r="C226">
            <v>50.3</v>
          </cell>
          <cell r="D226" t="e">
            <v>#N/A</v>
          </cell>
          <cell r="E226">
            <v>2.4</v>
          </cell>
          <cell r="F226">
            <v>77.75</v>
          </cell>
          <cell r="G226">
            <v>831521.4</v>
          </cell>
          <cell r="H226">
            <v>61.5</v>
          </cell>
          <cell r="I226" t="e">
            <v>#N/A</v>
          </cell>
        </row>
        <row r="227">
          <cell r="A227">
            <v>37468</v>
          </cell>
          <cell r="B227" t="e">
            <v>#N/A</v>
          </cell>
          <cell r="C227">
            <v>50.2</v>
          </cell>
          <cell r="D227" t="e">
            <v>#N/A</v>
          </cell>
          <cell r="E227">
            <v>2.1</v>
          </cell>
          <cell r="F227">
            <v>77.650000000000006</v>
          </cell>
          <cell r="G227">
            <v>827976.7</v>
          </cell>
          <cell r="H227">
            <v>61.6</v>
          </cell>
          <cell r="I227" t="e">
            <v>#N/A</v>
          </cell>
        </row>
        <row r="228">
          <cell r="A228">
            <v>37437</v>
          </cell>
          <cell r="B228" t="e">
            <v>#N/A</v>
          </cell>
          <cell r="C228">
            <v>53.6</v>
          </cell>
          <cell r="D228" t="e">
            <v>#N/A</v>
          </cell>
          <cell r="E228">
            <v>2.6</v>
          </cell>
          <cell r="F228">
            <v>77.87</v>
          </cell>
          <cell r="G228">
            <v>822108.1</v>
          </cell>
          <cell r="H228">
            <v>61.7</v>
          </cell>
          <cell r="I228" t="e">
            <v>#N/A</v>
          </cell>
        </row>
        <row r="229">
          <cell r="A229">
            <v>37407</v>
          </cell>
          <cell r="B229" t="e">
            <v>#N/A</v>
          </cell>
          <cell r="C229">
            <v>53.1</v>
          </cell>
          <cell r="D229" t="e">
            <v>#N/A</v>
          </cell>
          <cell r="E229">
            <v>3</v>
          </cell>
          <cell r="F229">
            <v>78.37</v>
          </cell>
          <cell r="G229">
            <v>812805.7</v>
          </cell>
          <cell r="H229">
            <v>62.1</v>
          </cell>
          <cell r="I229" t="e">
            <v>#N/A</v>
          </cell>
        </row>
        <row r="230">
          <cell r="A230">
            <v>37376</v>
          </cell>
          <cell r="B230" t="e">
            <v>#N/A</v>
          </cell>
          <cell r="C230">
            <v>52.4</v>
          </cell>
          <cell r="D230" t="e">
            <v>#N/A</v>
          </cell>
          <cell r="E230">
            <v>2.5</v>
          </cell>
          <cell r="F230">
            <v>78.040000000000006</v>
          </cell>
          <cell r="G230">
            <v>806857.1</v>
          </cell>
          <cell r="H230">
            <v>62.1</v>
          </cell>
          <cell r="I230" t="e">
            <v>#N/A</v>
          </cell>
        </row>
        <row r="231">
          <cell r="A231">
            <v>37346</v>
          </cell>
          <cell r="B231" t="e">
            <v>#N/A</v>
          </cell>
          <cell r="C231">
            <v>52.4</v>
          </cell>
          <cell r="D231" t="e">
            <v>#N/A</v>
          </cell>
          <cell r="E231">
            <v>2.2999999999999998</v>
          </cell>
          <cell r="F231">
            <v>77.44</v>
          </cell>
          <cell r="G231">
            <v>797428.3</v>
          </cell>
          <cell r="H231">
            <v>61.7</v>
          </cell>
          <cell r="I231" t="e">
            <v>#N/A</v>
          </cell>
        </row>
        <row r="232">
          <cell r="A232">
            <v>37315</v>
          </cell>
          <cell r="B232" t="e">
            <v>#N/A</v>
          </cell>
          <cell r="C232">
            <v>50.7</v>
          </cell>
          <cell r="D232" t="e">
            <v>#N/A</v>
          </cell>
          <cell r="E232">
            <v>2.6</v>
          </cell>
          <cell r="F232">
            <v>77.040000000000006</v>
          </cell>
          <cell r="G232">
            <v>779654.9</v>
          </cell>
          <cell r="H232">
            <v>60.7</v>
          </cell>
          <cell r="I232" t="e">
            <v>#N/A</v>
          </cell>
        </row>
        <row r="233">
          <cell r="A233">
            <v>37287</v>
          </cell>
          <cell r="B233" t="e">
            <v>#N/A</v>
          </cell>
          <cell r="C233">
            <v>47.5</v>
          </cell>
          <cell r="D233" t="e">
            <v>#N/A</v>
          </cell>
          <cell r="E233">
            <v>2.6</v>
          </cell>
          <cell r="F233">
            <v>76.650000000000006</v>
          </cell>
          <cell r="G233">
            <v>772614.7</v>
          </cell>
          <cell r="H233">
            <v>59.7</v>
          </cell>
          <cell r="I233" t="e">
            <v>#N/A</v>
          </cell>
        </row>
        <row r="234">
          <cell r="A234">
            <v>37256</v>
          </cell>
          <cell r="B234" t="e">
            <v>#N/A</v>
          </cell>
          <cell r="C234">
            <v>45.3</v>
          </cell>
          <cell r="D234" t="e">
            <v>#N/A</v>
          </cell>
          <cell r="E234">
            <v>3.2</v>
          </cell>
          <cell r="F234">
            <v>76.47</v>
          </cell>
          <cell r="G234">
            <v>767051.1</v>
          </cell>
          <cell r="H234">
            <v>58.5</v>
          </cell>
          <cell r="I234" t="e">
            <v>#N/A</v>
          </cell>
        </row>
        <row r="235">
          <cell r="A235">
            <v>37225</v>
          </cell>
          <cell r="B235" t="e">
            <v>#N/A</v>
          </cell>
          <cell r="C235">
            <v>44.1</v>
          </cell>
          <cell r="D235" t="e">
            <v>#N/A</v>
          </cell>
          <cell r="E235">
            <v>3.4</v>
          </cell>
          <cell r="F235">
            <v>76.94</v>
          </cell>
          <cell r="G235">
            <v>766706.8</v>
          </cell>
          <cell r="H235">
            <v>57.5</v>
          </cell>
          <cell r="I235" t="e">
            <v>#N/A</v>
          </cell>
        </row>
        <row r="236">
          <cell r="A236">
            <v>37195</v>
          </cell>
          <cell r="B236" t="e">
            <v>#N/A</v>
          </cell>
          <cell r="C236">
            <v>40.799999999999997</v>
          </cell>
          <cell r="D236" t="e">
            <v>#N/A</v>
          </cell>
          <cell r="E236">
            <v>3.4</v>
          </cell>
          <cell r="F236">
            <v>77.25</v>
          </cell>
          <cell r="G236">
            <v>764156.1</v>
          </cell>
          <cell r="H236">
            <v>56.6</v>
          </cell>
          <cell r="I236" t="e">
            <v>#N/A</v>
          </cell>
        </row>
        <row r="237">
          <cell r="A237">
            <v>37164</v>
          </cell>
          <cell r="B237" t="e">
            <v>#N/A</v>
          </cell>
          <cell r="C237">
            <v>46.2</v>
          </cell>
          <cell r="D237" t="e">
            <v>#N/A</v>
          </cell>
          <cell r="E237">
            <v>3.3</v>
          </cell>
          <cell r="F237">
            <v>77.62</v>
          </cell>
          <cell r="G237">
            <v>761433.1</v>
          </cell>
          <cell r="H237">
            <v>56.2</v>
          </cell>
          <cell r="I237" t="e">
            <v>#N/A</v>
          </cell>
        </row>
        <row r="238">
          <cell r="A238">
            <v>37134</v>
          </cell>
          <cell r="B238" t="e">
            <v>#N/A</v>
          </cell>
          <cell r="C238">
            <v>46.3</v>
          </cell>
          <cell r="D238" t="e">
            <v>#N/A</v>
          </cell>
          <cell r="E238">
            <v>4.7</v>
          </cell>
          <cell r="F238">
            <v>77.83</v>
          </cell>
          <cell r="G238">
            <v>750878</v>
          </cell>
          <cell r="H238">
            <v>55.9</v>
          </cell>
          <cell r="I238" t="e">
            <v>#N/A</v>
          </cell>
        </row>
        <row r="239">
          <cell r="A239">
            <v>37103</v>
          </cell>
          <cell r="B239" t="e">
            <v>#N/A</v>
          </cell>
          <cell r="C239">
            <v>43.5</v>
          </cell>
          <cell r="D239" t="e">
            <v>#N/A</v>
          </cell>
          <cell r="E239">
            <v>4.8</v>
          </cell>
          <cell r="F239">
            <v>78.209999999999994</v>
          </cell>
          <cell r="G239">
            <v>742913</v>
          </cell>
          <cell r="H239">
            <v>55.8</v>
          </cell>
          <cell r="I239" t="e">
            <v>#N/A</v>
          </cell>
        </row>
        <row r="240">
          <cell r="A240">
            <v>37072</v>
          </cell>
          <cell r="B240" t="e">
            <v>#N/A</v>
          </cell>
          <cell r="C240">
            <v>43.2</v>
          </cell>
          <cell r="D240" t="e">
            <v>#N/A</v>
          </cell>
          <cell r="E240">
            <v>5</v>
          </cell>
          <cell r="F240">
            <v>78.260000000000005</v>
          </cell>
          <cell r="G240">
            <v>730467.6</v>
          </cell>
          <cell r="H240">
            <v>55.6</v>
          </cell>
          <cell r="I240" t="e">
            <v>#N/A</v>
          </cell>
        </row>
        <row r="241">
          <cell r="A241">
            <v>37042</v>
          </cell>
          <cell r="B241" t="e">
            <v>#N/A</v>
          </cell>
          <cell r="C241">
            <v>41.3</v>
          </cell>
          <cell r="D241" t="e">
            <v>#N/A</v>
          </cell>
          <cell r="E241">
            <v>5.3</v>
          </cell>
          <cell r="F241">
            <v>78.58</v>
          </cell>
          <cell r="G241">
            <v>723359.5</v>
          </cell>
          <cell r="H241">
            <v>55.3</v>
          </cell>
          <cell r="I241" t="e">
            <v>#N/A</v>
          </cell>
        </row>
        <row r="242">
          <cell r="A242">
            <v>37011</v>
          </cell>
          <cell r="B242" t="e">
            <v>#N/A</v>
          </cell>
          <cell r="C242">
            <v>42.7</v>
          </cell>
          <cell r="D242" t="e">
            <v>#N/A</v>
          </cell>
          <cell r="E242">
            <v>4.8</v>
          </cell>
          <cell r="F242">
            <v>78.650000000000006</v>
          </cell>
          <cell r="G242">
            <v>718780.3</v>
          </cell>
          <cell r="H242">
            <v>54.7</v>
          </cell>
          <cell r="I242" t="e">
            <v>#N/A</v>
          </cell>
        </row>
        <row r="243">
          <cell r="A243">
            <v>36981</v>
          </cell>
          <cell r="B243" t="e">
            <v>#N/A</v>
          </cell>
          <cell r="C243">
            <v>43.1</v>
          </cell>
          <cell r="D243" t="e">
            <v>#N/A</v>
          </cell>
          <cell r="E243">
            <v>4</v>
          </cell>
          <cell r="F243">
            <v>78.7</v>
          </cell>
          <cell r="G243">
            <v>717847.3</v>
          </cell>
          <cell r="H243">
            <v>54.4</v>
          </cell>
          <cell r="I243" t="e">
            <v>#N/A</v>
          </cell>
        </row>
        <row r="244">
          <cell r="A244">
            <v>36950</v>
          </cell>
          <cell r="B244" t="e">
            <v>#N/A</v>
          </cell>
          <cell r="C244">
            <v>42.1</v>
          </cell>
          <cell r="D244" t="e">
            <v>#N/A</v>
          </cell>
          <cell r="E244">
            <v>3.6</v>
          </cell>
          <cell r="F244">
            <v>78.52</v>
          </cell>
          <cell r="G244">
            <v>716583.9</v>
          </cell>
          <cell r="H244">
            <v>54.1</v>
          </cell>
          <cell r="I244" t="e">
            <v>#N/A</v>
          </cell>
        </row>
        <row r="245">
          <cell r="A245">
            <v>36922</v>
          </cell>
          <cell r="B245" t="e">
            <v>#N/A</v>
          </cell>
          <cell r="C245">
            <v>42.3</v>
          </cell>
          <cell r="D245" t="e">
            <v>#N/A</v>
          </cell>
          <cell r="E245">
            <v>3.4</v>
          </cell>
          <cell r="F245">
            <v>78.680000000000007</v>
          </cell>
          <cell r="G245">
            <v>711867.7</v>
          </cell>
          <cell r="H245">
            <v>53.9</v>
          </cell>
          <cell r="I245" t="e">
            <v>#N/A</v>
          </cell>
        </row>
        <row r="246">
          <cell r="A246">
            <v>36891</v>
          </cell>
          <cell r="B246" t="e">
            <v>#N/A</v>
          </cell>
          <cell r="C246">
            <v>43.9</v>
          </cell>
          <cell r="D246" t="e">
            <v>#N/A</v>
          </cell>
          <cell r="E246">
            <v>2.8</v>
          </cell>
          <cell r="F246">
            <v>78.459999999999994</v>
          </cell>
          <cell r="G246">
            <v>708047.5</v>
          </cell>
          <cell r="H246">
            <v>54.5</v>
          </cell>
          <cell r="I246" t="e">
            <v>#N/A</v>
          </cell>
        </row>
        <row r="247">
          <cell r="A247">
            <v>36860</v>
          </cell>
          <cell r="B247" t="e">
            <v>#N/A</v>
          </cell>
          <cell r="C247">
            <v>48.5</v>
          </cell>
          <cell r="D247" t="e">
            <v>#N/A</v>
          </cell>
          <cell r="E247">
            <v>2.2000000000000002</v>
          </cell>
          <cell r="F247">
            <v>78.36</v>
          </cell>
          <cell r="G247">
            <v>703911.6</v>
          </cell>
          <cell r="H247">
            <v>54.9</v>
          </cell>
          <cell r="I247" t="e">
            <v>#N/A</v>
          </cell>
        </row>
        <row r="248">
          <cell r="A248">
            <v>36830</v>
          </cell>
          <cell r="B248" t="e">
            <v>#N/A</v>
          </cell>
          <cell r="C248">
            <v>48.7</v>
          </cell>
          <cell r="D248" t="e">
            <v>#N/A</v>
          </cell>
          <cell r="E248">
            <v>2.6</v>
          </cell>
          <cell r="F248">
            <v>78.400000000000006</v>
          </cell>
          <cell r="G248">
            <v>696854</v>
          </cell>
          <cell r="H248">
            <v>56</v>
          </cell>
          <cell r="I248" t="e">
            <v>#N/A</v>
          </cell>
        </row>
        <row r="249">
          <cell r="A249">
            <v>36799</v>
          </cell>
          <cell r="B249" t="e">
            <v>#N/A</v>
          </cell>
          <cell r="C249">
            <v>49.7</v>
          </cell>
          <cell r="D249" t="e">
            <v>#N/A</v>
          </cell>
          <cell r="E249">
            <v>3.5</v>
          </cell>
          <cell r="F249">
            <v>78.48</v>
          </cell>
          <cell r="G249">
            <v>702132.1</v>
          </cell>
          <cell r="H249">
            <v>56.6</v>
          </cell>
          <cell r="I249" t="e">
            <v>#N/A</v>
          </cell>
        </row>
        <row r="250">
          <cell r="A250">
            <v>36769</v>
          </cell>
          <cell r="B250" t="e">
            <v>#N/A</v>
          </cell>
          <cell r="C250">
            <v>49.9</v>
          </cell>
          <cell r="D250" t="e">
            <v>#N/A</v>
          </cell>
          <cell r="E250">
            <v>2.4</v>
          </cell>
          <cell r="F250">
            <v>78.22</v>
          </cell>
          <cell r="G250">
            <v>694454.4</v>
          </cell>
          <cell r="H250">
            <v>56.8</v>
          </cell>
          <cell r="I250" t="e">
            <v>#N/A</v>
          </cell>
        </row>
        <row r="251">
          <cell r="A251">
            <v>36738</v>
          </cell>
          <cell r="B251" t="e">
            <v>#N/A</v>
          </cell>
          <cell r="C251">
            <v>52.5</v>
          </cell>
          <cell r="D251" t="e">
            <v>#N/A</v>
          </cell>
          <cell r="E251">
            <v>3</v>
          </cell>
          <cell r="F251">
            <v>78.22</v>
          </cell>
          <cell r="G251">
            <v>688587.9</v>
          </cell>
          <cell r="H251">
            <v>56.3</v>
          </cell>
          <cell r="I251" t="e">
            <v>#N/A</v>
          </cell>
        </row>
        <row r="252">
          <cell r="A252">
            <v>36707</v>
          </cell>
          <cell r="B252" t="e">
            <v>#N/A</v>
          </cell>
          <cell r="C252">
            <v>51.4</v>
          </cell>
          <cell r="D252" t="e">
            <v>#N/A</v>
          </cell>
          <cell r="E252">
            <v>2.2000000000000002</v>
          </cell>
          <cell r="F252">
            <v>78.14</v>
          </cell>
          <cell r="G252">
            <v>686973.3</v>
          </cell>
          <cell r="H252">
            <v>56.1</v>
          </cell>
          <cell r="I252" t="e">
            <v>#N/A</v>
          </cell>
        </row>
        <row r="253">
          <cell r="A253">
            <v>36677</v>
          </cell>
          <cell r="B253" t="e">
            <v>#N/A</v>
          </cell>
          <cell r="C253">
            <v>53.2</v>
          </cell>
          <cell r="D253" t="e">
            <v>#N/A</v>
          </cell>
          <cell r="E253">
            <v>1.1000000000000001</v>
          </cell>
          <cell r="F253">
            <v>77.95</v>
          </cell>
          <cell r="G253">
            <v>686834.9</v>
          </cell>
          <cell r="H253">
            <v>55.8</v>
          </cell>
          <cell r="I253" t="e">
            <v>#N/A</v>
          </cell>
        </row>
        <row r="254">
          <cell r="A254">
            <v>36646</v>
          </cell>
          <cell r="B254" t="e">
            <v>#N/A</v>
          </cell>
          <cell r="C254">
            <v>54.7</v>
          </cell>
          <cell r="D254" t="e">
            <v>#N/A</v>
          </cell>
          <cell r="E254">
            <v>1.4</v>
          </cell>
          <cell r="F254">
            <v>78.14</v>
          </cell>
          <cell r="G254">
            <v>688879.2</v>
          </cell>
          <cell r="H254">
            <v>55.8</v>
          </cell>
          <cell r="I254" t="e">
            <v>#N/A</v>
          </cell>
        </row>
        <row r="255">
          <cell r="A255">
            <v>36616</v>
          </cell>
          <cell r="B255" t="e">
            <v>#N/A</v>
          </cell>
          <cell r="C255">
            <v>54.9</v>
          </cell>
          <cell r="D255" t="e">
            <v>#N/A</v>
          </cell>
          <cell r="E255">
            <v>2.1</v>
          </cell>
          <cell r="F255">
            <v>78.52</v>
          </cell>
          <cell r="G255">
            <v>684704.8</v>
          </cell>
          <cell r="H255">
            <v>55.9</v>
          </cell>
          <cell r="I255" t="e">
            <v>#N/A</v>
          </cell>
        </row>
        <row r="256">
          <cell r="A256">
            <v>36585</v>
          </cell>
          <cell r="B256" t="e">
            <v>#N/A</v>
          </cell>
          <cell r="C256">
            <v>55.8</v>
          </cell>
          <cell r="D256" t="e">
            <v>#N/A</v>
          </cell>
          <cell r="E256">
            <v>1.8</v>
          </cell>
          <cell r="F256">
            <v>78.569999999999993</v>
          </cell>
          <cell r="G256">
            <v>678380.4</v>
          </cell>
          <cell r="H256">
            <v>55.6</v>
          </cell>
          <cell r="I256" t="e">
            <v>#N/A</v>
          </cell>
        </row>
        <row r="257">
          <cell r="A257">
            <v>36556</v>
          </cell>
          <cell r="B257" t="e">
            <v>#N/A</v>
          </cell>
          <cell r="C257">
            <v>56.7</v>
          </cell>
          <cell r="D257" t="e">
            <v>#N/A</v>
          </cell>
          <cell r="E257">
            <v>1.9</v>
          </cell>
          <cell r="F257">
            <v>78.77</v>
          </cell>
          <cell r="G257">
            <v>676961.3</v>
          </cell>
          <cell r="H257">
            <v>55.4</v>
          </cell>
          <cell r="I257" t="e">
            <v>#N/A</v>
          </cell>
        </row>
        <row r="258">
          <cell r="A258">
            <v>36525</v>
          </cell>
          <cell r="B258" t="e">
            <v>#N/A</v>
          </cell>
          <cell r="C258">
            <v>57.8</v>
          </cell>
          <cell r="D258" t="e">
            <v>#N/A</v>
          </cell>
          <cell r="E258">
            <v>1.4</v>
          </cell>
          <cell r="F258">
            <v>77.959999999999994</v>
          </cell>
          <cell r="G258">
            <v>682329</v>
          </cell>
          <cell r="H258">
            <v>54.6</v>
          </cell>
          <cell r="I258" t="e">
            <v>#N/A</v>
          </cell>
        </row>
        <row r="259">
          <cell r="A259">
            <v>36494</v>
          </cell>
          <cell r="B259" t="e">
            <v>#N/A</v>
          </cell>
          <cell r="C259">
            <v>58.1</v>
          </cell>
          <cell r="D259" t="e">
            <v>#N/A</v>
          </cell>
          <cell r="E259">
            <v>1.4</v>
          </cell>
          <cell r="F259">
            <v>78.150000000000006</v>
          </cell>
          <cell r="G259">
            <v>682930.6</v>
          </cell>
          <cell r="H259">
            <v>54.4</v>
          </cell>
          <cell r="I259" t="e">
            <v>#N/A</v>
          </cell>
        </row>
        <row r="260">
          <cell r="A260">
            <v>36464</v>
          </cell>
          <cell r="B260" t="e">
            <v>#N/A</v>
          </cell>
          <cell r="C260">
            <v>57.2</v>
          </cell>
          <cell r="D260" t="e">
            <v>#N/A</v>
          </cell>
          <cell r="E260">
            <v>1.2</v>
          </cell>
          <cell r="F260">
            <v>77.69</v>
          </cell>
          <cell r="G260">
            <v>679285.9</v>
          </cell>
          <cell r="H260">
            <v>54</v>
          </cell>
          <cell r="I260" t="e">
            <v>#N/A</v>
          </cell>
        </row>
        <row r="261">
          <cell r="A261">
            <v>36433</v>
          </cell>
          <cell r="B261" t="e">
            <v>#N/A</v>
          </cell>
          <cell r="C261">
            <v>57</v>
          </cell>
          <cell r="D261" t="e">
            <v>#N/A</v>
          </cell>
          <cell r="E261">
            <v>0.8</v>
          </cell>
          <cell r="F261">
            <v>76.89</v>
          </cell>
          <cell r="G261">
            <v>676546.8</v>
          </cell>
          <cell r="H261">
            <v>53.9</v>
          </cell>
          <cell r="I261" t="e">
            <v>#N/A</v>
          </cell>
        </row>
        <row r="262">
          <cell r="A262">
            <v>36403</v>
          </cell>
          <cell r="B262" t="e">
            <v>#N/A</v>
          </cell>
          <cell r="C262">
            <v>54.8</v>
          </cell>
          <cell r="D262" t="e">
            <v>#N/A</v>
          </cell>
          <cell r="E262">
            <v>0.9</v>
          </cell>
          <cell r="F262">
            <v>76.52</v>
          </cell>
          <cell r="G262">
            <v>681728.7</v>
          </cell>
          <cell r="H262">
            <v>53.6</v>
          </cell>
          <cell r="I262" t="e">
            <v>#N/A</v>
          </cell>
        </row>
        <row r="263">
          <cell r="A263">
            <v>36372</v>
          </cell>
          <cell r="B263" t="e">
            <v>#N/A</v>
          </cell>
          <cell r="C263">
            <v>53.6</v>
          </cell>
          <cell r="D263" t="e">
            <v>#N/A</v>
          </cell>
          <cell r="E263">
            <v>0.3</v>
          </cell>
          <cell r="F263">
            <v>76.03</v>
          </cell>
          <cell r="G263">
            <v>683858.9</v>
          </cell>
          <cell r="H263">
            <v>53.1</v>
          </cell>
          <cell r="I263" t="e">
            <v>#N/A</v>
          </cell>
        </row>
        <row r="264">
          <cell r="A264">
            <v>36341</v>
          </cell>
          <cell r="B264" t="e">
            <v>#N/A</v>
          </cell>
          <cell r="C264">
            <v>55.8</v>
          </cell>
          <cell r="D264" t="e">
            <v>#N/A</v>
          </cell>
          <cell r="E264">
            <v>0.6</v>
          </cell>
          <cell r="F264">
            <v>76.150000000000006</v>
          </cell>
          <cell r="G264">
            <v>682687.1</v>
          </cell>
          <cell r="H264">
            <v>52.2</v>
          </cell>
          <cell r="I264" t="e">
            <v>#N/A</v>
          </cell>
        </row>
        <row r="265">
          <cell r="A265">
            <v>36311</v>
          </cell>
          <cell r="B265" t="e">
            <v>#N/A</v>
          </cell>
          <cell r="C265">
            <v>54.3</v>
          </cell>
          <cell r="D265" t="e">
            <v>#N/A</v>
          </cell>
          <cell r="E265">
            <v>0.8</v>
          </cell>
          <cell r="F265">
            <v>76.64</v>
          </cell>
          <cell r="G265">
            <v>679090.1</v>
          </cell>
          <cell r="H265">
            <v>51.3</v>
          </cell>
          <cell r="I265" t="e">
            <v>#N/A</v>
          </cell>
        </row>
        <row r="266">
          <cell r="A266">
            <v>36280</v>
          </cell>
          <cell r="B266" t="e">
            <v>#N/A</v>
          </cell>
          <cell r="C266">
            <v>52.3</v>
          </cell>
          <cell r="D266" t="e">
            <v>#N/A</v>
          </cell>
          <cell r="E266">
            <v>0.4</v>
          </cell>
          <cell r="F266">
            <v>76.319999999999993</v>
          </cell>
          <cell r="G266">
            <v>677027.6</v>
          </cell>
          <cell r="H266">
            <v>50.6</v>
          </cell>
          <cell r="I266" t="e">
            <v>#N/A</v>
          </cell>
        </row>
        <row r="267">
          <cell r="A267">
            <v>36250</v>
          </cell>
          <cell r="B267" t="e">
            <v>#N/A</v>
          </cell>
          <cell r="C267">
            <v>52.4</v>
          </cell>
          <cell r="D267" t="e">
            <v>#N/A</v>
          </cell>
          <cell r="E267">
            <v>0.5</v>
          </cell>
          <cell r="F267">
            <v>76.11</v>
          </cell>
          <cell r="G267">
            <v>669617.69999999995</v>
          </cell>
          <cell r="H267">
            <v>49.8</v>
          </cell>
          <cell r="I267" t="e">
            <v>#N/A</v>
          </cell>
        </row>
        <row r="268">
          <cell r="A268">
            <v>36219</v>
          </cell>
          <cell r="B268" t="e">
            <v>#N/A</v>
          </cell>
          <cell r="C268">
            <v>51.7</v>
          </cell>
          <cell r="D268" t="e">
            <v>#N/A</v>
          </cell>
          <cell r="E268">
            <v>0.2</v>
          </cell>
          <cell r="F268">
            <v>76.25</v>
          </cell>
          <cell r="G268">
            <v>668953</v>
          </cell>
          <cell r="H268">
            <v>48.9</v>
          </cell>
          <cell r="I268" t="e">
            <v>#N/A</v>
          </cell>
        </row>
        <row r="269">
          <cell r="A269">
            <v>36191</v>
          </cell>
          <cell r="B269" t="e">
            <v>#N/A</v>
          </cell>
          <cell r="C269">
            <v>50.6</v>
          </cell>
          <cell r="D269" t="e">
            <v>#N/A</v>
          </cell>
          <cell r="E269">
            <v>1.5</v>
          </cell>
          <cell r="F269">
            <v>76.42</v>
          </cell>
          <cell r="G269">
            <v>656040.4</v>
          </cell>
          <cell r="H269">
            <v>48</v>
          </cell>
          <cell r="I269" t="e">
            <v>#N/A</v>
          </cell>
        </row>
        <row r="270">
          <cell r="A270">
            <v>36160</v>
          </cell>
          <cell r="B270" t="e">
            <v>#N/A</v>
          </cell>
          <cell r="C270">
            <v>46.8</v>
          </cell>
          <cell r="D270" t="e">
            <v>#N/A</v>
          </cell>
          <cell r="E270">
            <v>4</v>
          </cell>
          <cell r="F270">
            <v>77.260000000000005</v>
          </cell>
          <cell r="G270">
            <v>648186.1</v>
          </cell>
          <cell r="H270">
            <v>47.2</v>
          </cell>
          <cell r="I270" t="e">
            <v>#N/A</v>
          </cell>
        </row>
        <row r="271">
          <cell r="A271">
            <v>36129</v>
          </cell>
          <cell r="B271" t="e">
            <v>#N/A</v>
          </cell>
          <cell r="C271">
            <v>48.2</v>
          </cell>
          <cell r="D271" t="e">
            <v>#N/A</v>
          </cell>
          <cell r="E271">
            <v>6.8</v>
          </cell>
          <cell r="F271">
            <v>77.69</v>
          </cell>
          <cell r="G271">
            <v>642272.30000000005</v>
          </cell>
          <cell r="H271">
            <v>46.5</v>
          </cell>
          <cell r="I271" t="e">
            <v>#N/A</v>
          </cell>
        </row>
        <row r="272">
          <cell r="A272">
            <v>36099</v>
          </cell>
          <cell r="B272" t="e">
            <v>#N/A</v>
          </cell>
          <cell r="C272">
            <v>48.7</v>
          </cell>
          <cell r="D272" t="e">
            <v>#N/A</v>
          </cell>
          <cell r="E272">
            <v>7.2</v>
          </cell>
          <cell r="F272">
            <v>77.819999999999993</v>
          </cell>
          <cell r="G272">
            <v>632759.80000000005</v>
          </cell>
          <cell r="H272">
            <v>45.9</v>
          </cell>
          <cell r="I272" t="e">
            <v>#N/A</v>
          </cell>
        </row>
        <row r="273">
          <cell r="A273">
            <v>36068</v>
          </cell>
          <cell r="B273" t="e">
            <v>#N/A</v>
          </cell>
          <cell r="C273">
            <v>48.7</v>
          </cell>
          <cell r="D273" t="e">
            <v>#N/A</v>
          </cell>
          <cell r="E273">
            <v>6.9</v>
          </cell>
          <cell r="F273">
            <v>77.790000000000006</v>
          </cell>
          <cell r="G273">
            <v>623905</v>
          </cell>
          <cell r="H273">
            <v>45.3</v>
          </cell>
          <cell r="I273" t="e">
            <v>#N/A</v>
          </cell>
        </row>
        <row r="274">
          <cell r="A274">
            <v>36038</v>
          </cell>
          <cell r="B274" t="e">
            <v>#N/A</v>
          </cell>
          <cell r="C274">
            <v>49.3</v>
          </cell>
          <cell r="D274" t="e">
            <v>#N/A</v>
          </cell>
          <cell r="E274">
            <v>6.9</v>
          </cell>
          <cell r="F274">
            <v>77.73</v>
          </cell>
          <cell r="G274">
            <v>613945.4</v>
          </cell>
          <cell r="H274">
            <v>44.8</v>
          </cell>
          <cell r="I274" t="e">
            <v>#N/A</v>
          </cell>
        </row>
        <row r="275">
          <cell r="A275">
            <v>36007</v>
          </cell>
          <cell r="B275" t="e">
            <v>#N/A</v>
          </cell>
          <cell r="C275">
            <v>49.2</v>
          </cell>
          <cell r="D275" t="e">
            <v>#N/A</v>
          </cell>
          <cell r="E275">
            <v>7.3</v>
          </cell>
          <cell r="F275">
            <v>78.290000000000006</v>
          </cell>
          <cell r="G275">
            <v>600393.4</v>
          </cell>
          <cell r="H275">
            <v>44.2</v>
          </cell>
          <cell r="I275" t="e">
            <v>#N/A</v>
          </cell>
        </row>
        <row r="276">
          <cell r="A276">
            <v>35976</v>
          </cell>
          <cell r="B276" t="e">
            <v>#N/A</v>
          </cell>
          <cell r="C276">
            <v>48.9</v>
          </cell>
          <cell r="D276" t="e">
            <v>#N/A</v>
          </cell>
          <cell r="E276">
            <v>7.5</v>
          </cell>
          <cell r="F276">
            <v>78.680000000000007</v>
          </cell>
          <cell r="G276">
            <v>588006.19999999995</v>
          </cell>
          <cell r="H276">
            <v>43.8</v>
          </cell>
          <cell r="I276" t="e">
            <v>#N/A</v>
          </cell>
        </row>
        <row r="277">
          <cell r="A277">
            <v>35946</v>
          </cell>
          <cell r="B277" t="e">
            <v>#N/A</v>
          </cell>
          <cell r="C277">
            <v>50.9</v>
          </cell>
          <cell r="D277" t="e">
            <v>#N/A</v>
          </cell>
          <cell r="E277">
            <v>8.1999999999999993</v>
          </cell>
          <cell r="F277">
            <v>78.760000000000005</v>
          </cell>
          <cell r="G277">
            <v>575569.4</v>
          </cell>
          <cell r="H277">
            <v>43.6</v>
          </cell>
          <cell r="I277" t="e">
            <v>#N/A</v>
          </cell>
        </row>
        <row r="278">
          <cell r="A278">
            <v>35915</v>
          </cell>
          <cell r="B278" t="e">
            <v>#N/A</v>
          </cell>
          <cell r="C278">
            <v>52.2</v>
          </cell>
          <cell r="D278" t="e">
            <v>#N/A</v>
          </cell>
          <cell r="E278">
            <v>8.8000000000000007</v>
          </cell>
          <cell r="F278">
            <v>79.62</v>
          </cell>
          <cell r="G278">
            <v>570866.4</v>
          </cell>
          <cell r="H278">
            <v>43.3</v>
          </cell>
          <cell r="I278" t="e">
            <v>#N/A</v>
          </cell>
        </row>
        <row r="279">
          <cell r="A279">
            <v>35885</v>
          </cell>
          <cell r="B279" t="e">
            <v>#N/A</v>
          </cell>
          <cell r="C279">
            <v>52.9</v>
          </cell>
          <cell r="D279" t="e">
            <v>#N/A</v>
          </cell>
          <cell r="E279">
            <v>9</v>
          </cell>
          <cell r="F279">
            <v>79.55</v>
          </cell>
          <cell r="G279">
            <v>562812.69999999995</v>
          </cell>
          <cell r="H279">
            <v>42.7</v>
          </cell>
          <cell r="I279" t="e">
            <v>#N/A</v>
          </cell>
        </row>
        <row r="280">
          <cell r="A280">
            <v>35854</v>
          </cell>
          <cell r="B280" t="e">
            <v>#N/A</v>
          </cell>
          <cell r="C280">
            <v>52.9</v>
          </cell>
          <cell r="D280" t="e">
            <v>#N/A</v>
          </cell>
          <cell r="E280">
            <v>9.5</v>
          </cell>
          <cell r="F280">
            <v>79.72</v>
          </cell>
          <cell r="G280">
            <v>554341.80000000005</v>
          </cell>
          <cell r="H280">
            <v>42.4</v>
          </cell>
          <cell r="I280" t="e">
            <v>#N/A</v>
          </cell>
        </row>
        <row r="281">
          <cell r="A281">
            <v>35826</v>
          </cell>
          <cell r="B281" t="e">
            <v>#N/A</v>
          </cell>
          <cell r="C281">
            <v>53.8</v>
          </cell>
          <cell r="D281" t="e">
            <v>#N/A</v>
          </cell>
          <cell r="E281">
            <v>8.3000000000000007</v>
          </cell>
          <cell r="F281">
            <v>77.75</v>
          </cell>
          <cell r="G281">
            <v>540960.9</v>
          </cell>
          <cell r="H281">
            <v>42.9</v>
          </cell>
          <cell r="I281" t="e">
            <v>#N/A</v>
          </cell>
        </row>
        <row r="282">
          <cell r="A282">
            <v>35795</v>
          </cell>
          <cell r="B282" t="e">
            <v>#N/A</v>
          </cell>
          <cell r="C282">
            <v>54.5</v>
          </cell>
          <cell r="D282" t="e">
            <v>#N/A</v>
          </cell>
          <cell r="E282">
            <v>6.6</v>
          </cell>
          <cell r="F282">
            <v>74.58</v>
          </cell>
          <cell r="G282">
            <v>528649.80000000005</v>
          </cell>
          <cell r="H282">
            <v>43.9</v>
          </cell>
          <cell r="I282" t="e">
            <v>#N/A</v>
          </cell>
        </row>
        <row r="283">
          <cell r="A283">
            <v>35764</v>
          </cell>
          <cell r="B283" t="e">
            <v>#N/A</v>
          </cell>
          <cell r="C283">
            <v>55.7</v>
          </cell>
          <cell r="D283" t="e">
            <v>#N/A</v>
          </cell>
          <cell r="E283">
            <v>4.3</v>
          </cell>
          <cell r="F283">
            <v>70.02</v>
          </cell>
          <cell r="G283">
            <v>516447.7</v>
          </cell>
          <cell r="H283">
            <v>44.9</v>
          </cell>
          <cell r="I283" t="e">
            <v>#N/A</v>
          </cell>
        </row>
        <row r="284">
          <cell r="A284">
            <v>35734</v>
          </cell>
          <cell r="B284" t="e">
            <v>#N/A</v>
          </cell>
          <cell r="C284">
            <v>56.4</v>
          </cell>
          <cell r="D284" t="e">
            <v>#N/A</v>
          </cell>
          <cell r="E284">
            <v>4.2</v>
          </cell>
          <cell r="F284">
            <v>69.650000000000006</v>
          </cell>
          <cell r="G284">
            <v>506790.9</v>
          </cell>
          <cell r="H284">
            <v>45.2</v>
          </cell>
          <cell r="I284" t="e">
            <v>#N/A</v>
          </cell>
        </row>
        <row r="285">
          <cell r="A285">
            <v>35703</v>
          </cell>
          <cell r="B285" t="e">
            <v>#N/A</v>
          </cell>
          <cell r="C285">
            <v>53.9</v>
          </cell>
          <cell r="D285" t="e">
            <v>#N/A</v>
          </cell>
          <cell r="E285">
            <v>4.2</v>
          </cell>
          <cell r="F285">
            <v>69.790000000000006</v>
          </cell>
          <cell r="G285">
            <v>501749.8</v>
          </cell>
          <cell r="H285">
            <v>45.2</v>
          </cell>
          <cell r="I285" t="e">
            <v>#N/A</v>
          </cell>
        </row>
        <row r="286">
          <cell r="A286">
            <v>35673</v>
          </cell>
          <cell r="B286" t="e">
            <v>#N/A</v>
          </cell>
          <cell r="C286">
            <v>56.3</v>
          </cell>
          <cell r="D286" t="e">
            <v>#N/A</v>
          </cell>
          <cell r="E286">
            <v>4</v>
          </cell>
          <cell r="F286">
            <v>69.58</v>
          </cell>
          <cell r="G286">
            <v>490619.5</v>
          </cell>
          <cell r="H286">
            <v>45.1</v>
          </cell>
          <cell r="I286" t="e">
            <v>#N/A</v>
          </cell>
        </row>
        <row r="287">
          <cell r="A287">
            <v>35642</v>
          </cell>
          <cell r="B287" t="e">
            <v>#N/A</v>
          </cell>
          <cell r="C287">
            <v>57.7</v>
          </cell>
          <cell r="D287" t="e">
            <v>#N/A</v>
          </cell>
          <cell r="E287">
            <v>3.7</v>
          </cell>
          <cell r="F287">
            <v>69.44</v>
          </cell>
          <cell r="G287">
            <v>483787.2</v>
          </cell>
          <cell r="H287">
            <v>44.8</v>
          </cell>
          <cell r="I287" t="e">
            <v>#N/A</v>
          </cell>
        </row>
        <row r="288">
          <cell r="A288">
            <v>35611</v>
          </cell>
          <cell r="B288" t="e">
            <v>#N/A</v>
          </cell>
          <cell r="C288">
            <v>54.9</v>
          </cell>
          <cell r="D288" t="e">
            <v>#N/A</v>
          </cell>
          <cell r="E288">
            <v>4</v>
          </cell>
          <cell r="F288">
            <v>69.44</v>
          </cell>
          <cell r="G288">
            <v>474001.4</v>
          </cell>
          <cell r="H288">
            <v>44.6</v>
          </cell>
          <cell r="I288" t="e">
            <v>#N/A</v>
          </cell>
        </row>
        <row r="289">
          <cell r="A289">
            <v>35581</v>
          </cell>
          <cell r="B289" t="e">
            <v>#N/A</v>
          </cell>
          <cell r="C289">
            <v>56.1</v>
          </cell>
          <cell r="D289" t="e">
            <v>#N/A</v>
          </cell>
          <cell r="E289">
            <v>3.8</v>
          </cell>
          <cell r="F289">
            <v>69.37</v>
          </cell>
          <cell r="G289">
            <v>468504.9</v>
          </cell>
          <cell r="H289">
            <v>44.3</v>
          </cell>
          <cell r="I289" t="e">
            <v>#N/A</v>
          </cell>
        </row>
        <row r="290">
          <cell r="A290">
            <v>35550</v>
          </cell>
          <cell r="B290" t="e">
            <v>#N/A</v>
          </cell>
          <cell r="C290">
            <v>53.7</v>
          </cell>
          <cell r="D290" t="e">
            <v>#N/A</v>
          </cell>
          <cell r="E290">
            <v>4.3</v>
          </cell>
          <cell r="F290">
            <v>69.290000000000006</v>
          </cell>
          <cell r="G290">
            <v>462361.8</v>
          </cell>
          <cell r="H290">
            <v>44.2</v>
          </cell>
          <cell r="I290" t="e">
            <v>#N/A</v>
          </cell>
        </row>
        <row r="291">
          <cell r="A291">
            <v>35520</v>
          </cell>
          <cell r="B291" t="e">
            <v>#N/A</v>
          </cell>
          <cell r="C291">
            <v>53.8</v>
          </cell>
          <cell r="D291" t="e">
            <v>#N/A</v>
          </cell>
          <cell r="E291">
            <v>4.5</v>
          </cell>
          <cell r="F291">
            <v>69.099999999999994</v>
          </cell>
          <cell r="G291">
            <v>458270.3</v>
          </cell>
          <cell r="H291">
            <v>43.7</v>
          </cell>
          <cell r="I291" t="e">
            <v>#N/A</v>
          </cell>
        </row>
        <row r="292">
          <cell r="A292">
            <v>35489</v>
          </cell>
          <cell r="B292" t="e">
            <v>#N/A</v>
          </cell>
          <cell r="C292">
            <v>53.1</v>
          </cell>
          <cell r="D292" t="e">
            <v>#N/A</v>
          </cell>
          <cell r="E292">
            <v>4.9000000000000004</v>
          </cell>
          <cell r="F292">
            <v>69.150000000000006</v>
          </cell>
          <cell r="G292">
            <v>452398.4</v>
          </cell>
          <cell r="H292">
            <v>43.4</v>
          </cell>
          <cell r="I292" t="e">
            <v>#N/A</v>
          </cell>
        </row>
        <row r="293">
          <cell r="A293">
            <v>35461</v>
          </cell>
          <cell r="B293" t="e">
            <v>#N/A</v>
          </cell>
          <cell r="C293">
            <v>53.8</v>
          </cell>
          <cell r="D293" t="e">
            <v>#N/A</v>
          </cell>
          <cell r="E293">
            <v>4.7</v>
          </cell>
          <cell r="F293">
            <v>68.87</v>
          </cell>
          <cell r="G293">
            <v>445671.7</v>
          </cell>
          <cell r="H293">
            <v>43.1</v>
          </cell>
          <cell r="I293" t="e">
            <v>#N/A</v>
          </cell>
        </row>
        <row r="294">
          <cell r="A294">
            <v>35430</v>
          </cell>
          <cell r="B294" t="e">
            <v>#N/A</v>
          </cell>
          <cell r="C294">
            <v>55.2</v>
          </cell>
          <cell r="D294" t="e">
            <v>#N/A</v>
          </cell>
          <cell r="E294">
            <v>4.9000000000000004</v>
          </cell>
          <cell r="F294">
            <v>68.06</v>
          </cell>
          <cell r="G294">
            <v>440517.3</v>
          </cell>
          <cell r="H294">
            <v>43</v>
          </cell>
          <cell r="I294" t="e">
            <v>#N/A</v>
          </cell>
        </row>
        <row r="295">
          <cell r="A295">
            <v>35399</v>
          </cell>
          <cell r="B295" t="e">
            <v>#N/A</v>
          </cell>
          <cell r="C295">
            <v>53</v>
          </cell>
          <cell r="D295" t="e">
            <v>#N/A</v>
          </cell>
          <cell r="E295">
            <v>5.3</v>
          </cell>
          <cell r="F295">
            <v>67.88</v>
          </cell>
          <cell r="G295">
            <v>434723.1</v>
          </cell>
          <cell r="H295">
            <v>42.6</v>
          </cell>
          <cell r="I295" t="e">
            <v>#N/A</v>
          </cell>
        </row>
        <row r="296">
          <cell r="A296">
            <v>35369</v>
          </cell>
          <cell r="B296" t="e">
            <v>#N/A</v>
          </cell>
          <cell r="C296">
            <v>50.5</v>
          </cell>
          <cell r="D296" t="e">
            <v>#N/A</v>
          </cell>
          <cell r="E296">
            <v>5</v>
          </cell>
          <cell r="F296">
            <v>67.86</v>
          </cell>
          <cell r="G296">
            <v>428080.9</v>
          </cell>
          <cell r="H296">
            <v>42.6</v>
          </cell>
          <cell r="I296" t="e">
            <v>#N/A</v>
          </cell>
        </row>
        <row r="297">
          <cell r="A297">
            <v>35338</v>
          </cell>
          <cell r="B297" t="e">
            <v>#N/A</v>
          </cell>
          <cell r="C297">
            <v>51.1</v>
          </cell>
          <cell r="D297" t="e">
            <v>#N/A</v>
          </cell>
          <cell r="E297">
            <v>4.5</v>
          </cell>
          <cell r="F297">
            <v>67.83</v>
          </cell>
          <cell r="G297">
            <v>425340.7</v>
          </cell>
          <cell r="H297">
            <v>42.8</v>
          </cell>
          <cell r="I297" t="e">
            <v>#N/A</v>
          </cell>
        </row>
        <row r="298">
          <cell r="A298">
            <v>35308</v>
          </cell>
          <cell r="B298" t="e">
            <v>#N/A</v>
          </cell>
          <cell r="C298">
            <v>51.6</v>
          </cell>
          <cell r="D298" t="e">
            <v>#N/A</v>
          </cell>
          <cell r="E298">
            <v>5.3</v>
          </cell>
          <cell r="F298">
            <v>67.69</v>
          </cell>
          <cell r="G298">
            <v>416876.3</v>
          </cell>
          <cell r="H298">
            <v>43</v>
          </cell>
          <cell r="I298" t="e">
            <v>#N/A</v>
          </cell>
        </row>
        <row r="299">
          <cell r="A299">
            <v>35277</v>
          </cell>
          <cell r="B299" t="e">
            <v>#N/A</v>
          </cell>
          <cell r="C299">
            <v>49.7</v>
          </cell>
          <cell r="D299" t="e">
            <v>#N/A</v>
          </cell>
          <cell r="E299">
            <v>5.4</v>
          </cell>
          <cell r="F299">
            <v>67.62</v>
          </cell>
          <cell r="G299">
            <v>412459.4</v>
          </cell>
          <cell r="H299">
            <v>42.9</v>
          </cell>
          <cell r="I299" t="e">
            <v>#N/A</v>
          </cell>
        </row>
        <row r="300">
          <cell r="A300">
            <v>35246</v>
          </cell>
          <cell r="B300" t="e">
            <v>#N/A</v>
          </cell>
          <cell r="C300">
            <v>53.6</v>
          </cell>
          <cell r="D300" t="e">
            <v>#N/A</v>
          </cell>
          <cell r="E300">
            <v>5.2</v>
          </cell>
          <cell r="F300">
            <v>67.13</v>
          </cell>
          <cell r="G300">
            <v>405306</v>
          </cell>
          <cell r="H300">
            <v>42.7</v>
          </cell>
          <cell r="I300" t="e">
            <v>#N/A</v>
          </cell>
        </row>
        <row r="301">
          <cell r="A301">
            <v>35216</v>
          </cell>
          <cell r="B301" t="e">
            <v>#N/A</v>
          </cell>
          <cell r="C301">
            <v>49.1</v>
          </cell>
          <cell r="D301" t="e">
            <v>#N/A</v>
          </cell>
          <cell r="E301">
            <v>4.9000000000000004</v>
          </cell>
          <cell r="F301">
            <v>66.92</v>
          </cell>
          <cell r="G301">
            <v>400703.6</v>
          </cell>
          <cell r="H301">
            <v>42.9</v>
          </cell>
          <cell r="I301" t="e">
            <v>#N/A</v>
          </cell>
        </row>
        <row r="302">
          <cell r="A302">
            <v>35185</v>
          </cell>
          <cell r="B302" t="e">
            <v>#N/A</v>
          </cell>
          <cell r="C302">
            <v>49.3</v>
          </cell>
          <cell r="D302" t="e">
            <v>#N/A</v>
          </cell>
          <cell r="E302">
            <v>4.5</v>
          </cell>
          <cell r="F302">
            <v>66.88</v>
          </cell>
          <cell r="G302">
            <v>395993.5</v>
          </cell>
          <cell r="H302">
            <v>42.9</v>
          </cell>
          <cell r="I302" t="e">
            <v>#N/A</v>
          </cell>
        </row>
        <row r="303">
          <cell r="A303">
            <v>35155</v>
          </cell>
          <cell r="B303" t="e">
            <v>#N/A</v>
          </cell>
          <cell r="C303">
            <v>46.9</v>
          </cell>
          <cell r="D303" t="e">
            <v>#N/A</v>
          </cell>
          <cell r="E303">
            <v>4.4000000000000004</v>
          </cell>
          <cell r="F303">
            <v>66.569999999999993</v>
          </cell>
          <cell r="G303">
            <v>387888.2</v>
          </cell>
          <cell r="H303">
            <v>42.8</v>
          </cell>
          <cell r="I303" t="e">
            <v>#N/A</v>
          </cell>
        </row>
        <row r="304">
          <cell r="A304">
            <v>35124</v>
          </cell>
          <cell r="B304" t="e">
            <v>#N/A</v>
          </cell>
          <cell r="C304">
            <v>45.9</v>
          </cell>
          <cell r="D304" t="e">
            <v>#N/A</v>
          </cell>
          <cell r="E304">
            <v>4.8</v>
          </cell>
          <cell r="F304">
            <v>66.739999999999995</v>
          </cell>
          <cell r="G304">
            <v>382347.5</v>
          </cell>
          <cell r="H304">
            <v>42.6</v>
          </cell>
          <cell r="I304" t="e">
            <v>#N/A</v>
          </cell>
        </row>
        <row r="305">
          <cell r="A305">
            <v>35095</v>
          </cell>
          <cell r="B305" t="e">
            <v>#N/A</v>
          </cell>
          <cell r="C305">
            <v>45.5</v>
          </cell>
          <cell r="D305" t="e">
            <v>#N/A</v>
          </cell>
          <cell r="E305">
            <v>4.8</v>
          </cell>
          <cell r="F305">
            <v>66.510000000000005</v>
          </cell>
          <cell r="G305">
            <v>377633.3</v>
          </cell>
          <cell r="H305">
            <v>42.5</v>
          </cell>
          <cell r="I305" t="e">
            <v>#N/A</v>
          </cell>
        </row>
        <row r="306">
          <cell r="A306">
            <v>35064</v>
          </cell>
          <cell r="B306" t="e">
            <v>#N/A</v>
          </cell>
          <cell r="C306">
            <v>46.2</v>
          </cell>
          <cell r="D306" t="e">
            <v>#N/A</v>
          </cell>
          <cell r="E306">
            <v>4.8</v>
          </cell>
          <cell r="F306">
            <v>65.680000000000007</v>
          </cell>
          <cell r="G306">
            <v>374517.3</v>
          </cell>
          <cell r="H306">
            <v>42.4</v>
          </cell>
          <cell r="I306" t="e">
            <v>#N/A</v>
          </cell>
        </row>
        <row r="307">
          <cell r="A307">
            <v>35033</v>
          </cell>
          <cell r="B307" t="e">
            <v>#N/A</v>
          </cell>
          <cell r="C307">
            <v>45.9</v>
          </cell>
          <cell r="D307" t="e">
            <v>#N/A</v>
          </cell>
          <cell r="E307">
            <v>4.0999999999999996</v>
          </cell>
          <cell r="F307">
            <v>65.42</v>
          </cell>
          <cell r="G307">
            <v>364982.3</v>
          </cell>
          <cell r="H307">
            <v>42.3</v>
          </cell>
          <cell r="I307" t="e">
            <v>#N/A</v>
          </cell>
        </row>
        <row r="308">
          <cell r="A308">
            <v>35003</v>
          </cell>
          <cell r="B308" t="e">
            <v>#N/A</v>
          </cell>
          <cell r="C308">
            <v>46.7</v>
          </cell>
          <cell r="D308" t="e">
            <v>#N/A</v>
          </cell>
          <cell r="E308">
            <v>4.5</v>
          </cell>
          <cell r="F308">
            <v>65.63</v>
          </cell>
          <cell r="G308">
            <v>357301.4</v>
          </cell>
          <cell r="H308">
            <v>42.1</v>
          </cell>
          <cell r="I308" t="e">
            <v>#N/A</v>
          </cell>
        </row>
        <row r="309">
          <cell r="A309">
            <v>34972</v>
          </cell>
          <cell r="B309" t="e">
            <v>#N/A</v>
          </cell>
          <cell r="C309">
            <v>48.1</v>
          </cell>
          <cell r="D309" t="e">
            <v>#N/A</v>
          </cell>
          <cell r="E309">
            <v>4.7</v>
          </cell>
          <cell r="F309">
            <v>65.92</v>
          </cell>
          <cell r="G309">
            <v>351876.4</v>
          </cell>
          <cell r="H309">
            <v>42</v>
          </cell>
          <cell r="I309" t="e">
            <v>#N/A</v>
          </cell>
        </row>
        <row r="310">
          <cell r="A310">
            <v>34942</v>
          </cell>
          <cell r="B310" t="e">
            <v>#N/A</v>
          </cell>
          <cell r="C310">
            <v>47.1</v>
          </cell>
          <cell r="D310" t="e">
            <v>#N/A</v>
          </cell>
          <cell r="E310">
            <v>3.4</v>
          </cell>
          <cell r="F310">
            <v>65.489999999999995</v>
          </cell>
          <cell r="G310">
            <v>344554.4</v>
          </cell>
          <cell r="H310">
            <v>41.8</v>
          </cell>
          <cell r="I310" t="e">
            <v>#N/A</v>
          </cell>
        </row>
        <row r="311">
          <cell r="A311">
            <v>34911</v>
          </cell>
          <cell r="B311" t="e">
            <v>#N/A</v>
          </cell>
          <cell r="C311">
            <v>50.7</v>
          </cell>
          <cell r="D311" t="e">
            <v>#N/A</v>
          </cell>
          <cell r="E311">
            <v>3.6</v>
          </cell>
          <cell r="F311">
            <v>65.48</v>
          </cell>
          <cell r="G311">
            <v>339401.4</v>
          </cell>
          <cell r="H311">
            <v>41.5</v>
          </cell>
          <cell r="I311" t="e">
            <v>#N/A</v>
          </cell>
        </row>
        <row r="312">
          <cell r="A312">
            <v>34880</v>
          </cell>
          <cell r="B312" t="e">
            <v>#N/A</v>
          </cell>
          <cell r="C312">
            <v>45.9</v>
          </cell>
          <cell r="D312" t="e">
            <v>#N/A</v>
          </cell>
          <cell r="E312">
            <v>4.2</v>
          </cell>
          <cell r="F312">
            <v>65.36</v>
          </cell>
          <cell r="G312">
            <v>332585.5</v>
          </cell>
          <cell r="H312">
            <v>41.1</v>
          </cell>
          <cell r="I312" t="e">
            <v>#N/A</v>
          </cell>
        </row>
        <row r="313">
          <cell r="A313">
            <v>34850</v>
          </cell>
          <cell r="B313" t="e">
            <v>#N/A</v>
          </cell>
          <cell r="C313">
            <v>46.7</v>
          </cell>
          <cell r="D313" t="e">
            <v>#N/A</v>
          </cell>
          <cell r="E313">
            <v>5.2</v>
          </cell>
          <cell r="F313">
            <v>65.3</v>
          </cell>
          <cell r="G313">
            <v>328385.40000000002</v>
          </cell>
          <cell r="H313">
            <v>40.9</v>
          </cell>
          <cell r="I313" t="e">
            <v>#N/A</v>
          </cell>
        </row>
        <row r="314">
          <cell r="A314">
            <v>34819</v>
          </cell>
          <cell r="B314" t="e">
            <v>#N/A</v>
          </cell>
          <cell r="C314">
            <v>51.5</v>
          </cell>
          <cell r="D314" t="e">
            <v>#N/A</v>
          </cell>
          <cell r="E314">
            <v>5.0999999999999996</v>
          </cell>
          <cell r="F314">
            <v>65.09</v>
          </cell>
          <cell r="G314">
            <v>324014.59999999998</v>
          </cell>
          <cell r="H314">
            <v>40.799999999999997</v>
          </cell>
          <cell r="I314" t="e">
            <v>#N/A</v>
          </cell>
        </row>
        <row r="315">
          <cell r="A315">
            <v>34789</v>
          </cell>
          <cell r="B315" t="e">
            <v>#N/A</v>
          </cell>
          <cell r="C315">
            <v>52.1</v>
          </cell>
          <cell r="D315" t="e">
            <v>#N/A</v>
          </cell>
          <cell r="E315">
            <v>4.5999999999999996</v>
          </cell>
          <cell r="F315">
            <v>64.7</v>
          </cell>
          <cell r="G315">
            <v>316700.09999999998</v>
          </cell>
          <cell r="H315">
            <v>40.4</v>
          </cell>
          <cell r="I315" t="e">
            <v>#N/A</v>
          </cell>
        </row>
        <row r="316">
          <cell r="A316">
            <v>34758</v>
          </cell>
          <cell r="B316" t="e">
            <v>#N/A</v>
          </cell>
          <cell r="C316">
            <v>55.1</v>
          </cell>
          <cell r="D316" t="e">
            <v>#N/A</v>
          </cell>
          <cell r="E316">
            <v>4.5</v>
          </cell>
          <cell r="F316">
            <v>64.23</v>
          </cell>
          <cell r="G316">
            <v>312391.7</v>
          </cell>
          <cell r="H316">
            <v>40.4</v>
          </cell>
          <cell r="I316" t="e">
            <v>#N/A</v>
          </cell>
        </row>
        <row r="317">
          <cell r="A317">
            <v>34730</v>
          </cell>
          <cell r="B317" t="e">
            <v>#N/A</v>
          </cell>
          <cell r="C317">
            <v>57.4</v>
          </cell>
          <cell r="D317" t="e">
            <v>#N/A</v>
          </cell>
          <cell r="E317">
            <v>5.2</v>
          </cell>
          <cell r="F317">
            <v>63.99</v>
          </cell>
          <cell r="G317">
            <v>311847.90000000002</v>
          </cell>
          <cell r="H317">
            <v>40.1</v>
          </cell>
          <cell r="I317" t="e">
            <v>#N/A</v>
          </cell>
        </row>
        <row r="318">
          <cell r="A318">
            <v>34699</v>
          </cell>
          <cell r="B318" t="e">
            <v>#N/A</v>
          </cell>
          <cell r="C318">
            <v>56.1</v>
          </cell>
          <cell r="D318" t="e">
            <v>#N/A</v>
          </cell>
          <cell r="E318">
            <v>5.6</v>
          </cell>
          <cell r="F318">
            <v>63.33</v>
          </cell>
          <cell r="G318">
            <v>307168.90000000002</v>
          </cell>
          <cell r="H318">
            <v>39.799999999999997</v>
          </cell>
          <cell r="I318" t="e">
            <v>#N/A</v>
          </cell>
        </row>
        <row r="319">
          <cell r="A319">
            <v>34668</v>
          </cell>
          <cell r="B319" t="e">
            <v>#N/A</v>
          </cell>
          <cell r="C319">
            <v>59.2</v>
          </cell>
          <cell r="D319" t="e">
            <v>#N/A</v>
          </cell>
          <cell r="E319">
            <v>6.1</v>
          </cell>
          <cell r="F319">
            <v>62.94</v>
          </cell>
          <cell r="G319">
            <v>302643.5</v>
          </cell>
          <cell r="H319">
            <v>39.299999999999997</v>
          </cell>
          <cell r="I319" t="e">
            <v>#N/A</v>
          </cell>
        </row>
        <row r="320">
          <cell r="A320">
            <v>34638</v>
          </cell>
          <cell r="B320" t="e">
            <v>#N/A</v>
          </cell>
          <cell r="C320">
            <v>59.4</v>
          </cell>
          <cell r="D320" t="e">
            <v>#N/A</v>
          </cell>
          <cell r="E320">
            <v>5.8</v>
          </cell>
          <cell r="F320">
            <v>62.94</v>
          </cell>
          <cell r="G320">
            <v>296573.40000000002</v>
          </cell>
          <cell r="H320">
            <v>39</v>
          </cell>
          <cell r="I320" t="e">
            <v>#N/A</v>
          </cell>
        </row>
        <row r="321">
          <cell r="A321">
            <v>34607</v>
          </cell>
          <cell r="B321" t="e">
            <v>#N/A</v>
          </cell>
          <cell r="C321">
            <v>59</v>
          </cell>
          <cell r="D321" t="e">
            <v>#N/A</v>
          </cell>
          <cell r="E321">
            <v>6.5</v>
          </cell>
          <cell r="F321">
            <v>62.79</v>
          </cell>
          <cell r="G321">
            <v>294828.90000000002</v>
          </cell>
          <cell r="H321">
            <v>38.700000000000003</v>
          </cell>
          <cell r="I321" t="e">
            <v>#N/A</v>
          </cell>
        </row>
        <row r="322">
          <cell r="A322">
            <v>34577</v>
          </cell>
          <cell r="B322" t="e">
            <v>#N/A</v>
          </cell>
          <cell r="C322">
            <v>58</v>
          </cell>
          <cell r="D322" t="e">
            <v>#N/A</v>
          </cell>
          <cell r="E322">
            <v>7.4</v>
          </cell>
          <cell r="F322">
            <v>62.79</v>
          </cell>
          <cell r="G322">
            <v>289497.7</v>
          </cell>
          <cell r="H322">
            <v>38.4</v>
          </cell>
          <cell r="I322" t="e">
            <v>#N/A</v>
          </cell>
        </row>
        <row r="323">
          <cell r="A323">
            <v>34546</v>
          </cell>
          <cell r="B323" t="e">
            <v>#N/A</v>
          </cell>
          <cell r="C323">
            <v>58.5</v>
          </cell>
          <cell r="D323" t="e">
            <v>#N/A</v>
          </cell>
          <cell r="E323">
            <v>6.9</v>
          </cell>
          <cell r="F323">
            <v>62.16</v>
          </cell>
          <cell r="G323">
            <v>285738.59999999998</v>
          </cell>
          <cell r="H323">
            <v>38.200000000000003</v>
          </cell>
          <cell r="I323" t="e">
            <v>#N/A</v>
          </cell>
        </row>
        <row r="324">
          <cell r="A324">
            <v>34515</v>
          </cell>
          <cell r="B324" t="e">
            <v>#N/A</v>
          </cell>
          <cell r="C324">
            <v>58.8</v>
          </cell>
          <cell r="D324" t="e">
            <v>#N/A</v>
          </cell>
          <cell r="E324">
            <v>5.9</v>
          </cell>
          <cell r="F324">
            <v>61.93</v>
          </cell>
          <cell r="G324">
            <v>279562.2</v>
          </cell>
          <cell r="H324">
            <v>38</v>
          </cell>
          <cell r="I324" t="e">
            <v>#N/A</v>
          </cell>
        </row>
        <row r="325">
          <cell r="A325">
            <v>34485</v>
          </cell>
          <cell r="B325" t="e">
            <v>#N/A</v>
          </cell>
          <cell r="C325">
            <v>58.2</v>
          </cell>
          <cell r="D325" t="e">
            <v>#N/A</v>
          </cell>
          <cell r="E325">
            <v>5.7</v>
          </cell>
          <cell r="F325">
            <v>61.69</v>
          </cell>
          <cell r="G325">
            <v>275995.7</v>
          </cell>
          <cell r="H325">
            <v>37.9</v>
          </cell>
          <cell r="I325" t="e">
            <v>#N/A</v>
          </cell>
        </row>
        <row r="326">
          <cell r="A326">
            <v>34454</v>
          </cell>
          <cell r="B326" t="e">
            <v>#N/A</v>
          </cell>
          <cell r="C326">
            <v>57.4</v>
          </cell>
          <cell r="D326" t="e">
            <v>#N/A</v>
          </cell>
          <cell r="E326">
            <v>5.9</v>
          </cell>
          <cell r="F326">
            <v>61.76</v>
          </cell>
          <cell r="G326">
            <v>273108.09999999998</v>
          </cell>
          <cell r="H326">
            <v>37.700000000000003</v>
          </cell>
          <cell r="I326" t="e">
            <v>#N/A</v>
          </cell>
        </row>
        <row r="327">
          <cell r="A327">
            <v>34424</v>
          </cell>
          <cell r="B327" t="e">
            <v>#N/A</v>
          </cell>
          <cell r="C327">
            <v>56.9</v>
          </cell>
          <cell r="D327" t="e">
            <v>#N/A</v>
          </cell>
          <cell r="E327">
            <v>6.4</v>
          </cell>
          <cell r="F327">
            <v>61.69</v>
          </cell>
          <cell r="G327">
            <v>266964.90000000002</v>
          </cell>
          <cell r="H327">
            <v>37.5</v>
          </cell>
          <cell r="I327" t="e">
            <v>#N/A</v>
          </cell>
        </row>
        <row r="328">
          <cell r="A328">
            <v>34393</v>
          </cell>
          <cell r="B328" t="e">
            <v>#N/A</v>
          </cell>
          <cell r="C328">
            <v>56.5</v>
          </cell>
          <cell r="D328" t="e">
            <v>#N/A</v>
          </cell>
          <cell r="E328">
            <v>6.8</v>
          </cell>
          <cell r="F328">
            <v>61.76</v>
          </cell>
          <cell r="G328">
            <v>261715.6</v>
          </cell>
          <cell r="H328">
            <v>37.200000000000003</v>
          </cell>
          <cell r="I328" t="e">
            <v>#N/A</v>
          </cell>
        </row>
        <row r="329">
          <cell r="A329">
            <v>34365</v>
          </cell>
          <cell r="B329" t="e">
            <v>#N/A</v>
          </cell>
          <cell r="C329">
            <v>56</v>
          </cell>
          <cell r="D329" t="e">
            <v>#N/A</v>
          </cell>
          <cell r="E329">
            <v>6.4</v>
          </cell>
          <cell r="F329">
            <v>61.61</v>
          </cell>
          <cell r="G329">
            <v>255917.9</v>
          </cell>
          <cell r="H329">
            <v>36.799999999999997</v>
          </cell>
          <cell r="I329" t="e">
            <v>#N/A</v>
          </cell>
        </row>
        <row r="330">
          <cell r="A330">
            <v>34334</v>
          </cell>
          <cell r="B330" t="e">
            <v>#N/A</v>
          </cell>
          <cell r="C330">
            <v>55.6</v>
          </cell>
          <cell r="D330" t="e">
            <v>#N/A</v>
          </cell>
          <cell r="E330">
            <v>5.8</v>
          </cell>
          <cell r="F330">
            <v>60.98</v>
          </cell>
          <cell r="G330">
            <v>253598.5</v>
          </cell>
          <cell r="H330">
            <v>36.4</v>
          </cell>
          <cell r="I330" t="e">
            <v>#N/A</v>
          </cell>
        </row>
        <row r="331">
          <cell r="A331">
            <v>34303</v>
          </cell>
          <cell r="B331" t="e">
            <v>#N/A</v>
          </cell>
          <cell r="C331">
            <v>53.8</v>
          </cell>
          <cell r="D331" t="e">
            <v>#N/A</v>
          </cell>
          <cell r="E331">
            <v>5.5</v>
          </cell>
          <cell r="F331">
            <v>60.82</v>
          </cell>
          <cell r="G331">
            <v>249747.20000000001</v>
          </cell>
          <cell r="H331">
            <v>35.9</v>
          </cell>
          <cell r="I331" t="e">
            <v>#N/A</v>
          </cell>
        </row>
        <row r="332">
          <cell r="A332">
            <v>34273</v>
          </cell>
          <cell r="B332" t="e">
            <v>#N/A</v>
          </cell>
          <cell r="C332">
            <v>53.4</v>
          </cell>
          <cell r="D332" t="e">
            <v>#N/A</v>
          </cell>
          <cell r="E332">
            <v>5.0999999999999996</v>
          </cell>
          <cell r="F332">
            <v>60.82</v>
          </cell>
          <cell r="G332">
            <v>247130.4</v>
          </cell>
          <cell r="H332">
            <v>35.5</v>
          </cell>
          <cell r="I332" t="e">
            <v>#N/A</v>
          </cell>
        </row>
        <row r="333">
          <cell r="A333">
            <v>34242</v>
          </cell>
          <cell r="B333" t="e">
            <v>#N/A</v>
          </cell>
          <cell r="C333">
            <v>50.8</v>
          </cell>
          <cell r="D333" t="e">
            <v>#N/A</v>
          </cell>
          <cell r="E333">
            <v>4.5999999999999996</v>
          </cell>
          <cell r="F333">
            <v>60.98</v>
          </cell>
          <cell r="G333">
            <v>244481.3</v>
          </cell>
          <cell r="H333">
            <v>35.1</v>
          </cell>
          <cell r="I333" t="e">
            <v>#N/A</v>
          </cell>
        </row>
        <row r="334">
          <cell r="A334">
            <v>34212</v>
          </cell>
          <cell r="B334" t="e">
            <v>#N/A</v>
          </cell>
          <cell r="C334">
            <v>50.7</v>
          </cell>
          <cell r="D334" t="e">
            <v>#N/A</v>
          </cell>
          <cell r="E334">
            <v>4.4000000000000004</v>
          </cell>
          <cell r="F334">
            <v>60.82</v>
          </cell>
          <cell r="G334">
            <v>240278</v>
          </cell>
          <cell r="H334">
            <v>35.1</v>
          </cell>
          <cell r="I334" t="e">
            <v>#N/A</v>
          </cell>
        </row>
        <row r="335">
          <cell r="A335">
            <v>34181</v>
          </cell>
          <cell r="B335" t="e">
            <v>#N/A</v>
          </cell>
          <cell r="C335">
            <v>50.2</v>
          </cell>
          <cell r="D335" t="e">
            <v>#N/A</v>
          </cell>
          <cell r="E335">
            <v>4.3</v>
          </cell>
          <cell r="F335">
            <v>60.68</v>
          </cell>
          <cell r="G335">
            <v>236505.7</v>
          </cell>
          <cell r="H335">
            <v>34.9</v>
          </cell>
          <cell r="I335" t="e">
            <v>#N/A</v>
          </cell>
        </row>
        <row r="336">
          <cell r="A336">
            <v>34150</v>
          </cell>
          <cell r="B336" t="e">
            <v>#N/A</v>
          </cell>
          <cell r="C336">
            <v>49.6</v>
          </cell>
          <cell r="D336" t="e">
            <v>#N/A</v>
          </cell>
          <cell r="E336">
            <v>4.8</v>
          </cell>
          <cell r="F336">
            <v>60.74</v>
          </cell>
          <cell r="G336">
            <v>233044.8</v>
          </cell>
          <cell r="H336">
            <v>34.700000000000003</v>
          </cell>
          <cell r="I336" t="e">
            <v>#N/A</v>
          </cell>
        </row>
        <row r="337">
          <cell r="A337">
            <v>34120</v>
          </cell>
          <cell r="B337" t="e">
            <v>#N/A</v>
          </cell>
          <cell r="C337">
            <v>51.2</v>
          </cell>
          <cell r="D337" t="e">
            <v>#N/A</v>
          </cell>
          <cell r="E337">
            <v>4.5</v>
          </cell>
          <cell r="F337">
            <v>60.68</v>
          </cell>
          <cell r="G337">
            <v>229583.1</v>
          </cell>
          <cell r="H337">
            <v>34.4</v>
          </cell>
          <cell r="I337" t="e">
            <v>#N/A</v>
          </cell>
        </row>
        <row r="338">
          <cell r="A338">
            <v>34089</v>
          </cell>
          <cell r="B338" t="e">
            <v>#N/A</v>
          </cell>
          <cell r="C338">
            <v>50.2</v>
          </cell>
          <cell r="D338" t="e">
            <v>#N/A</v>
          </cell>
          <cell r="E338">
            <v>4.8</v>
          </cell>
          <cell r="F338">
            <v>60.6</v>
          </cell>
          <cell r="G338">
            <v>226220.5</v>
          </cell>
          <cell r="H338">
            <v>34.200000000000003</v>
          </cell>
          <cell r="I338" t="e">
            <v>#N/A</v>
          </cell>
        </row>
        <row r="339">
          <cell r="A339">
            <v>34059</v>
          </cell>
          <cell r="B339" t="e">
            <v>#N/A</v>
          </cell>
          <cell r="C339">
            <v>53.5</v>
          </cell>
          <cell r="D339" t="e">
            <v>#N/A</v>
          </cell>
          <cell r="E339">
            <v>4.8</v>
          </cell>
          <cell r="F339">
            <v>60.44</v>
          </cell>
          <cell r="G339">
            <v>224510</v>
          </cell>
          <cell r="H339">
            <v>34</v>
          </cell>
          <cell r="I339" t="e">
            <v>#N/A</v>
          </cell>
        </row>
        <row r="340">
          <cell r="A340">
            <v>34028</v>
          </cell>
          <cell r="B340" t="e">
            <v>#N/A</v>
          </cell>
          <cell r="C340">
            <v>55.2</v>
          </cell>
          <cell r="D340" t="e">
            <v>#N/A</v>
          </cell>
          <cell r="E340">
            <v>4.5999999999999996</v>
          </cell>
          <cell r="F340">
            <v>60.04</v>
          </cell>
          <cell r="G340">
            <v>220984.4</v>
          </cell>
          <cell r="H340">
            <v>33.799999999999997</v>
          </cell>
          <cell r="I340" t="e">
            <v>#N/A</v>
          </cell>
        </row>
        <row r="341">
          <cell r="A341">
            <v>34000</v>
          </cell>
          <cell r="B341" t="e">
            <v>#N/A</v>
          </cell>
          <cell r="C341">
            <v>55.8</v>
          </cell>
          <cell r="D341" t="e">
            <v>#N/A</v>
          </cell>
          <cell r="E341">
            <v>4.5</v>
          </cell>
          <cell r="F341">
            <v>60.04</v>
          </cell>
          <cell r="G341">
            <v>217736.1</v>
          </cell>
          <cell r="H341">
            <v>33.700000000000003</v>
          </cell>
          <cell r="I341" t="e">
            <v>#N/A</v>
          </cell>
        </row>
        <row r="342">
          <cell r="A342">
            <v>33969</v>
          </cell>
          <cell r="B342" t="e">
            <v>#N/A</v>
          </cell>
          <cell r="C342">
            <v>54.2</v>
          </cell>
          <cell r="D342" t="e">
            <v>#N/A</v>
          </cell>
          <cell r="E342">
            <v>4.5</v>
          </cell>
          <cell r="F342">
            <v>59.81</v>
          </cell>
          <cell r="G342">
            <v>212578.9</v>
          </cell>
          <cell r="H342">
            <v>33.4</v>
          </cell>
          <cell r="I342" t="e">
            <v>#N/A</v>
          </cell>
        </row>
        <row r="343">
          <cell r="A343">
            <v>33938</v>
          </cell>
          <cell r="B343" t="e">
            <v>#N/A</v>
          </cell>
          <cell r="C343">
            <v>53.6</v>
          </cell>
          <cell r="D343" t="e">
            <v>#N/A</v>
          </cell>
          <cell r="E343">
            <v>4.4000000000000004</v>
          </cell>
          <cell r="F343">
            <v>59.73</v>
          </cell>
          <cell r="G343">
            <v>208974.1</v>
          </cell>
          <cell r="H343">
            <v>33</v>
          </cell>
          <cell r="I343" t="e">
            <v>#N/A</v>
          </cell>
        </row>
        <row r="344">
          <cell r="A344">
            <v>33908</v>
          </cell>
          <cell r="B344" t="e">
            <v>#N/A</v>
          </cell>
          <cell r="C344">
            <v>50.3</v>
          </cell>
          <cell r="D344" t="e">
            <v>#N/A</v>
          </cell>
          <cell r="E344">
            <v>5.4</v>
          </cell>
          <cell r="F344">
            <v>59.88</v>
          </cell>
          <cell r="G344">
            <v>204227.20000000001</v>
          </cell>
          <cell r="H344">
            <v>32.700000000000003</v>
          </cell>
          <cell r="I344" t="e">
            <v>#N/A</v>
          </cell>
        </row>
        <row r="345">
          <cell r="A345">
            <v>33877</v>
          </cell>
          <cell r="B345" t="e">
            <v>#N/A</v>
          </cell>
          <cell r="C345">
            <v>49.7</v>
          </cell>
          <cell r="D345" t="e">
            <v>#N/A</v>
          </cell>
          <cell r="E345">
            <v>5.7</v>
          </cell>
          <cell r="F345">
            <v>60.04</v>
          </cell>
          <cell r="G345">
            <v>198859.4</v>
          </cell>
          <cell r="H345">
            <v>32.5</v>
          </cell>
          <cell r="I345" t="e">
            <v>#N/A</v>
          </cell>
        </row>
        <row r="346">
          <cell r="A346">
            <v>33847</v>
          </cell>
          <cell r="B346" t="e">
            <v>#N/A</v>
          </cell>
          <cell r="C346">
            <v>53.4</v>
          </cell>
          <cell r="D346" t="e">
            <v>#N/A</v>
          </cell>
          <cell r="E346">
            <v>5.9</v>
          </cell>
          <cell r="F346">
            <v>60.28</v>
          </cell>
          <cell r="G346">
            <v>196169.1</v>
          </cell>
          <cell r="H346">
            <v>32.4</v>
          </cell>
          <cell r="I346" t="e">
            <v>#N/A</v>
          </cell>
        </row>
        <row r="347">
          <cell r="A347">
            <v>33816</v>
          </cell>
          <cell r="B347" t="e">
            <v>#N/A</v>
          </cell>
          <cell r="C347">
            <v>53.9</v>
          </cell>
          <cell r="D347" t="e">
            <v>#N/A</v>
          </cell>
          <cell r="E347">
            <v>6.6</v>
          </cell>
          <cell r="F347">
            <v>60.28</v>
          </cell>
          <cell r="G347">
            <v>193756.1</v>
          </cell>
          <cell r="H347">
            <v>32.4</v>
          </cell>
          <cell r="I347" t="e">
            <v>#N/A</v>
          </cell>
        </row>
        <row r="348">
          <cell r="A348">
            <v>33785</v>
          </cell>
          <cell r="B348" t="e">
            <v>#N/A</v>
          </cell>
          <cell r="C348">
            <v>53.6</v>
          </cell>
          <cell r="D348" t="e">
            <v>#N/A</v>
          </cell>
          <cell r="E348">
            <v>6.8</v>
          </cell>
          <cell r="F348">
            <v>59.88</v>
          </cell>
          <cell r="G348">
            <v>190123</v>
          </cell>
          <cell r="H348">
            <v>32.200000000000003</v>
          </cell>
          <cell r="I348" t="e">
            <v>#N/A</v>
          </cell>
        </row>
        <row r="349">
          <cell r="A349">
            <v>33755</v>
          </cell>
          <cell r="B349" t="e">
            <v>#N/A</v>
          </cell>
          <cell r="C349">
            <v>55.7</v>
          </cell>
          <cell r="D349" t="e">
            <v>#N/A</v>
          </cell>
          <cell r="E349">
            <v>7.3</v>
          </cell>
          <cell r="F349">
            <v>59.65</v>
          </cell>
          <cell r="G349">
            <v>189145.8</v>
          </cell>
          <cell r="H349">
            <v>32</v>
          </cell>
          <cell r="I349" t="e">
            <v>#N/A</v>
          </cell>
        </row>
        <row r="350">
          <cell r="A350">
            <v>33724</v>
          </cell>
          <cell r="B350" t="e">
            <v>#N/A</v>
          </cell>
          <cell r="C350">
            <v>52.6</v>
          </cell>
          <cell r="D350" t="e">
            <v>#N/A</v>
          </cell>
          <cell r="E350">
            <v>6.9</v>
          </cell>
          <cell r="F350">
            <v>59.49</v>
          </cell>
          <cell r="G350">
            <v>186533.2</v>
          </cell>
          <cell r="H350">
            <v>31.8</v>
          </cell>
          <cell r="I350" t="e">
            <v>#N/A</v>
          </cell>
        </row>
        <row r="351">
          <cell r="A351">
            <v>33694</v>
          </cell>
          <cell r="B351" t="e">
            <v>#N/A</v>
          </cell>
          <cell r="C351">
            <v>54.6</v>
          </cell>
          <cell r="D351" t="e">
            <v>#N/A</v>
          </cell>
          <cell r="E351">
            <v>6.8</v>
          </cell>
          <cell r="F351">
            <v>59.42</v>
          </cell>
          <cell r="G351">
            <v>183523.9</v>
          </cell>
          <cell r="H351">
            <v>31.6</v>
          </cell>
          <cell r="I351" t="e">
            <v>#N/A</v>
          </cell>
        </row>
        <row r="352">
          <cell r="A352">
            <v>33663</v>
          </cell>
          <cell r="B352" t="e">
            <v>#N/A</v>
          </cell>
          <cell r="C352">
            <v>52.7</v>
          </cell>
          <cell r="D352" t="e">
            <v>#N/A</v>
          </cell>
          <cell r="E352">
            <v>7</v>
          </cell>
          <cell r="F352">
            <v>59.18</v>
          </cell>
          <cell r="G352">
            <v>180826.9</v>
          </cell>
          <cell r="H352">
            <v>31.4</v>
          </cell>
          <cell r="I352" t="e">
            <v>#N/A</v>
          </cell>
        </row>
        <row r="353">
          <cell r="A353">
            <v>33634</v>
          </cell>
          <cell r="B353" t="e">
            <v>#N/A</v>
          </cell>
          <cell r="C353">
            <v>47.3</v>
          </cell>
          <cell r="D353" t="e">
            <v>#N/A</v>
          </cell>
          <cell r="E353">
            <v>7.7</v>
          </cell>
          <cell r="F353">
            <v>59.1</v>
          </cell>
          <cell r="G353">
            <v>178532.2</v>
          </cell>
          <cell r="H353">
            <v>31.2</v>
          </cell>
          <cell r="I353" t="e">
            <v>#N/A</v>
          </cell>
        </row>
        <row r="354">
          <cell r="A354">
            <v>33603</v>
          </cell>
          <cell r="B354" t="e">
            <v>#N/A</v>
          </cell>
          <cell r="C354">
            <v>46.8</v>
          </cell>
          <cell r="D354" t="e">
            <v>#N/A</v>
          </cell>
          <cell r="E354">
            <v>9.3000000000000007</v>
          </cell>
          <cell r="F354">
            <v>58.87</v>
          </cell>
          <cell r="G354">
            <v>174698.8</v>
          </cell>
          <cell r="H354">
            <v>31.1</v>
          </cell>
          <cell r="I354" t="e">
            <v>#N/A</v>
          </cell>
        </row>
        <row r="355">
          <cell r="A355">
            <v>33572</v>
          </cell>
          <cell r="B355" t="e">
            <v>#N/A</v>
          </cell>
          <cell r="C355">
            <v>49.5</v>
          </cell>
          <cell r="D355" t="e">
            <v>#N/A</v>
          </cell>
          <cell r="E355">
            <v>9.6999999999999993</v>
          </cell>
          <cell r="F355">
            <v>58.7</v>
          </cell>
          <cell r="G355">
            <v>172453</v>
          </cell>
          <cell r="H355">
            <v>31</v>
          </cell>
          <cell r="I355" t="e">
            <v>#N/A</v>
          </cell>
        </row>
        <row r="356">
          <cell r="A356">
            <v>33542</v>
          </cell>
          <cell r="B356" t="e">
            <v>#N/A</v>
          </cell>
          <cell r="C356">
            <v>53.1</v>
          </cell>
          <cell r="D356" t="e">
            <v>#N/A</v>
          </cell>
          <cell r="E356">
            <v>9.3000000000000007</v>
          </cell>
          <cell r="F356">
            <v>58.7</v>
          </cell>
          <cell r="G356">
            <v>170278</v>
          </cell>
          <cell r="H356">
            <v>30.8</v>
          </cell>
          <cell r="I356" t="e">
            <v>#N/A</v>
          </cell>
        </row>
        <row r="357">
          <cell r="A357">
            <v>33511</v>
          </cell>
          <cell r="B357" t="e">
            <v>#N/A</v>
          </cell>
          <cell r="C357">
            <v>54.9</v>
          </cell>
          <cell r="D357" t="e">
            <v>#N/A</v>
          </cell>
          <cell r="E357">
            <v>9.4</v>
          </cell>
          <cell r="F357">
            <v>58.63</v>
          </cell>
          <cell r="G357">
            <v>166662.20000000001</v>
          </cell>
          <cell r="H357">
            <v>30.6</v>
          </cell>
          <cell r="I357" t="e">
            <v>#N/A</v>
          </cell>
        </row>
        <row r="358">
          <cell r="A358">
            <v>33481</v>
          </cell>
          <cell r="B358" t="e">
            <v>#N/A</v>
          </cell>
          <cell r="C358">
            <v>52.9</v>
          </cell>
          <cell r="D358" t="e">
            <v>#N/A</v>
          </cell>
          <cell r="E358">
            <v>9.5</v>
          </cell>
          <cell r="F358">
            <v>58.56</v>
          </cell>
          <cell r="G358">
            <v>161615.4</v>
          </cell>
          <cell r="H358">
            <v>30.5</v>
          </cell>
          <cell r="I358" t="e">
            <v>#N/A</v>
          </cell>
        </row>
        <row r="359">
          <cell r="A359">
            <v>33450</v>
          </cell>
          <cell r="B359" t="e">
            <v>#N/A</v>
          </cell>
          <cell r="C359">
            <v>50.6</v>
          </cell>
          <cell r="D359" t="e">
            <v>#N/A</v>
          </cell>
          <cell r="E359">
            <v>9</v>
          </cell>
          <cell r="F359">
            <v>58.24</v>
          </cell>
          <cell r="G359">
            <v>161152.29999999999</v>
          </cell>
          <cell r="H359">
            <v>30.4</v>
          </cell>
          <cell r="I359" t="e">
            <v>#N/A</v>
          </cell>
        </row>
        <row r="360">
          <cell r="A360">
            <v>33419</v>
          </cell>
          <cell r="B360" t="e">
            <v>#N/A</v>
          </cell>
          <cell r="C360">
            <v>50.3</v>
          </cell>
          <cell r="D360" t="e">
            <v>#N/A</v>
          </cell>
          <cell r="E360">
            <v>8.6999999999999993</v>
          </cell>
          <cell r="F360">
            <v>58.32</v>
          </cell>
          <cell r="G360">
            <v>158123.5</v>
          </cell>
          <cell r="H360">
            <v>30.1</v>
          </cell>
          <cell r="I360" t="e">
            <v>#N/A</v>
          </cell>
        </row>
        <row r="361">
          <cell r="A361">
            <v>33389</v>
          </cell>
          <cell r="B361" t="e">
            <v>#N/A</v>
          </cell>
          <cell r="C361">
            <v>44.5</v>
          </cell>
          <cell r="D361" t="e">
            <v>#N/A</v>
          </cell>
          <cell r="E361">
            <v>8.5</v>
          </cell>
          <cell r="F361">
            <v>58.32</v>
          </cell>
          <cell r="G361">
            <v>156693.9</v>
          </cell>
          <cell r="H361">
            <v>29.9</v>
          </cell>
          <cell r="I361" t="e">
            <v>#N/A</v>
          </cell>
        </row>
        <row r="362">
          <cell r="A362">
            <v>33358</v>
          </cell>
          <cell r="B362" t="e">
            <v>#N/A</v>
          </cell>
          <cell r="C362">
            <v>42.8</v>
          </cell>
          <cell r="D362" t="e">
            <v>#N/A</v>
          </cell>
          <cell r="E362">
            <v>9.4</v>
          </cell>
          <cell r="F362">
            <v>58.4</v>
          </cell>
          <cell r="G362">
            <v>154504.5</v>
          </cell>
          <cell r="H362">
            <v>29.7</v>
          </cell>
          <cell r="I362" t="e">
            <v>#N/A</v>
          </cell>
        </row>
        <row r="363">
          <cell r="A363">
            <v>33328</v>
          </cell>
          <cell r="B363" t="e">
            <v>#N/A</v>
          </cell>
          <cell r="C363">
            <v>40.700000000000003</v>
          </cell>
          <cell r="D363" t="e">
            <v>#N/A</v>
          </cell>
          <cell r="E363">
            <v>10.1</v>
          </cell>
          <cell r="F363">
            <v>58.4</v>
          </cell>
          <cell r="G363">
            <v>153518.79999999999</v>
          </cell>
          <cell r="H363">
            <v>29.5</v>
          </cell>
          <cell r="I363" t="e">
            <v>#N/A</v>
          </cell>
        </row>
        <row r="364">
          <cell r="A364">
            <v>33297</v>
          </cell>
          <cell r="B364" t="e">
            <v>#N/A</v>
          </cell>
          <cell r="C364">
            <v>39.4</v>
          </cell>
          <cell r="D364" t="e">
            <v>#N/A</v>
          </cell>
          <cell r="E364">
            <v>9.9</v>
          </cell>
          <cell r="F364">
            <v>58.32</v>
          </cell>
          <cell r="G364">
            <v>151009.20000000001</v>
          </cell>
          <cell r="H364">
            <v>29.4</v>
          </cell>
          <cell r="I364" t="e">
            <v>#N/A</v>
          </cell>
        </row>
        <row r="365">
          <cell r="A365">
            <v>33269</v>
          </cell>
          <cell r="B365" t="e">
            <v>#N/A</v>
          </cell>
          <cell r="C365">
            <v>39.200000000000003</v>
          </cell>
          <cell r="D365" t="e">
            <v>#N/A</v>
          </cell>
          <cell r="E365">
            <v>9.1999999999999993</v>
          </cell>
          <cell r="F365">
            <v>58.09</v>
          </cell>
          <cell r="G365">
            <v>148618.1</v>
          </cell>
          <cell r="H365">
            <v>29.2</v>
          </cell>
          <cell r="I365" t="e">
            <v>#N/A</v>
          </cell>
        </row>
        <row r="366">
          <cell r="A366">
            <v>33238</v>
          </cell>
          <cell r="B366" t="e">
            <v>#N/A</v>
          </cell>
          <cell r="C366">
            <v>40.799999999999997</v>
          </cell>
          <cell r="D366" t="e">
            <v>#N/A</v>
          </cell>
          <cell r="E366">
            <v>9.3000000000000007</v>
          </cell>
          <cell r="F366">
            <v>57.77</v>
          </cell>
          <cell r="G366">
            <v>146975.79999999999</v>
          </cell>
          <cell r="H366">
            <v>29.1</v>
          </cell>
          <cell r="I366" t="e">
            <v>#N/A</v>
          </cell>
        </row>
        <row r="367">
          <cell r="A367">
            <v>33207</v>
          </cell>
          <cell r="B367" t="e">
            <v>#N/A</v>
          </cell>
          <cell r="C367">
            <v>41.3</v>
          </cell>
          <cell r="D367" t="e">
            <v>#N/A</v>
          </cell>
          <cell r="E367">
            <v>8.6</v>
          </cell>
          <cell r="F367">
            <v>57.14</v>
          </cell>
          <cell r="G367">
            <v>141226</v>
          </cell>
          <cell r="H367">
            <v>28.9</v>
          </cell>
          <cell r="I367" t="e">
            <v>#N/A</v>
          </cell>
        </row>
        <row r="368">
          <cell r="A368">
            <v>33177</v>
          </cell>
          <cell r="B368" t="e">
            <v>#N/A</v>
          </cell>
          <cell r="C368">
            <v>43.2</v>
          </cell>
          <cell r="D368" t="e">
            <v>#N/A</v>
          </cell>
          <cell r="E368">
            <v>8.6999999999999993</v>
          </cell>
          <cell r="F368">
            <v>57.06</v>
          </cell>
          <cell r="G368">
            <v>138782.9</v>
          </cell>
          <cell r="H368">
            <v>28.7</v>
          </cell>
          <cell r="I368" t="e">
            <v>#N/A</v>
          </cell>
        </row>
        <row r="369">
          <cell r="A369">
            <v>33146</v>
          </cell>
          <cell r="B369" t="e">
            <v>#N/A</v>
          </cell>
          <cell r="C369">
            <v>44.5</v>
          </cell>
          <cell r="D369" t="e">
            <v>#N/A</v>
          </cell>
          <cell r="E369">
            <v>8.6</v>
          </cell>
          <cell r="F369">
            <v>56.52</v>
          </cell>
          <cell r="G369">
            <v>136810.70000000001</v>
          </cell>
          <cell r="H369">
            <v>28.4</v>
          </cell>
          <cell r="I369" t="e">
            <v>#N/A</v>
          </cell>
        </row>
        <row r="370">
          <cell r="A370">
            <v>33116</v>
          </cell>
          <cell r="B370" t="e">
            <v>#N/A</v>
          </cell>
          <cell r="C370">
            <v>46.1</v>
          </cell>
          <cell r="D370" t="e">
            <v>#N/A</v>
          </cell>
          <cell r="E370">
            <v>9</v>
          </cell>
          <cell r="F370">
            <v>55.81</v>
          </cell>
          <cell r="G370">
            <v>129478.5</v>
          </cell>
          <cell r="H370">
            <v>28.1</v>
          </cell>
          <cell r="I370" t="e">
            <v>#N/A</v>
          </cell>
        </row>
        <row r="371">
          <cell r="A371">
            <v>33085</v>
          </cell>
          <cell r="B371" t="e">
            <v>#N/A</v>
          </cell>
          <cell r="C371">
            <v>46.6</v>
          </cell>
          <cell r="D371" t="e">
            <v>#N/A</v>
          </cell>
          <cell r="E371">
            <v>9.4</v>
          </cell>
          <cell r="F371">
            <v>55.57</v>
          </cell>
          <cell r="G371">
            <v>130497.60000000001</v>
          </cell>
          <cell r="H371">
            <v>27.8</v>
          </cell>
          <cell r="I371" t="e">
            <v>#N/A</v>
          </cell>
        </row>
        <row r="372">
          <cell r="A372">
            <v>33054</v>
          </cell>
          <cell r="B372" t="e">
            <v>#N/A</v>
          </cell>
          <cell r="C372">
            <v>49.2</v>
          </cell>
          <cell r="D372" t="e">
            <v>#N/A</v>
          </cell>
          <cell r="E372">
            <v>8.9</v>
          </cell>
          <cell r="F372">
            <v>55.65</v>
          </cell>
          <cell r="G372">
            <v>129180.1</v>
          </cell>
          <cell r="H372">
            <v>27.6</v>
          </cell>
          <cell r="I372" t="e">
            <v>#N/A</v>
          </cell>
        </row>
        <row r="373">
          <cell r="A373">
            <v>33024</v>
          </cell>
          <cell r="B373" t="e">
            <v>#N/A</v>
          </cell>
          <cell r="C373">
            <v>49.5</v>
          </cell>
          <cell r="D373" t="e">
            <v>#N/A</v>
          </cell>
          <cell r="E373">
            <v>8.6</v>
          </cell>
          <cell r="F373">
            <v>55.49</v>
          </cell>
          <cell r="G373">
            <v>127286.2</v>
          </cell>
          <cell r="H373">
            <v>27.4</v>
          </cell>
          <cell r="I373" t="e">
            <v>#N/A</v>
          </cell>
        </row>
        <row r="374">
          <cell r="A374">
            <v>32993</v>
          </cell>
          <cell r="B374" t="e">
            <v>#N/A</v>
          </cell>
          <cell r="C374">
            <v>50</v>
          </cell>
          <cell r="D374" t="e">
            <v>#N/A</v>
          </cell>
          <cell r="E374">
            <v>8.6999999999999993</v>
          </cell>
          <cell r="F374">
            <v>55.11</v>
          </cell>
          <cell r="G374">
            <v>125338.5</v>
          </cell>
          <cell r="H374">
            <v>27.2</v>
          </cell>
          <cell r="I374" t="e">
            <v>#N/A</v>
          </cell>
        </row>
        <row r="375">
          <cell r="A375">
            <v>32963</v>
          </cell>
          <cell r="B375" t="e">
            <v>#N/A</v>
          </cell>
          <cell r="C375">
            <v>49.9</v>
          </cell>
          <cell r="D375" t="e">
            <v>#N/A</v>
          </cell>
          <cell r="E375">
            <v>8</v>
          </cell>
          <cell r="F375">
            <v>54.79</v>
          </cell>
          <cell r="G375">
            <v>123086.39999999999</v>
          </cell>
          <cell r="H375">
            <v>27.1</v>
          </cell>
          <cell r="I375" t="e">
            <v>#N/A</v>
          </cell>
        </row>
        <row r="376">
          <cell r="A376">
            <v>32932</v>
          </cell>
          <cell r="B376" t="e">
            <v>#N/A</v>
          </cell>
          <cell r="C376">
            <v>49.1</v>
          </cell>
          <cell r="D376" t="e">
            <v>#N/A</v>
          </cell>
          <cell r="E376">
            <v>7.6</v>
          </cell>
          <cell r="F376">
            <v>54.55</v>
          </cell>
          <cell r="G376">
            <v>119931.5</v>
          </cell>
          <cell r="H376">
            <v>26.9</v>
          </cell>
          <cell r="I376" t="e">
            <v>#N/A</v>
          </cell>
        </row>
        <row r="377">
          <cell r="A377">
            <v>32904</v>
          </cell>
          <cell r="B377" t="e">
            <v>#N/A</v>
          </cell>
          <cell r="C377">
            <v>47.2</v>
          </cell>
          <cell r="D377" t="e">
            <v>#N/A</v>
          </cell>
          <cell r="E377">
            <v>7.3</v>
          </cell>
          <cell r="F377">
            <v>54.48</v>
          </cell>
          <cell r="G377">
            <v>118596</v>
          </cell>
          <cell r="H377">
            <v>26.7</v>
          </cell>
          <cell r="I377" t="e">
            <v>#N/A</v>
          </cell>
        </row>
        <row r="378">
          <cell r="A378">
            <v>32873</v>
          </cell>
          <cell r="B378" t="e">
            <v>#N/A</v>
          </cell>
          <cell r="C378">
            <v>47.4</v>
          </cell>
          <cell r="D378" t="e">
            <v>#N/A</v>
          </cell>
          <cell r="E378">
            <v>5.0999999999999996</v>
          </cell>
          <cell r="F378">
            <v>53.86</v>
          </cell>
          <cell r="G378">
            <v>113008.3</v>
          </cell>
          <cell r="H378">
            <v>26.5</v>
          </cell>
          <cell r="I378" t="e">
            <v>#N/A</v>
          </cell>
        </row>
        <row r="379">
          <cell r="A379">
            <v>32842</v>
          </cell>
          <cell r="B379" t="e">
            <v>#N/A</v>
          </cell>
          <cell r="C379">
            <v>46.8</v>
          </cell>
          <cell r="D379" t="e">
            <v>#N/A</v>
          </cell>
          <cell r="E379">
            <v>6.1</v>
          </cell>
          <cell r="F379">
            <v>53.81</v>
          </cell>
          <cell r="G379">
            <v>109237</v>
          </cell>
          <cell r="H379">
            <v>26.4</v>
          </cell>
          <cell r="I379" t="e">
            <v>#N/A</v>
          </cell>
        </row>
        <row r="380">
          <cell r="A380">
            <v>32812</v>
          </cell>
          <cell r="B380" t="e">
            <v>#N/A</v>
          </cell>
          <cell r="C380">
            <v>46.8</v>
          </cell>
          <cell r="D380" t="e">
            <v>#N/A</v>
          </cell>
          <cell r="E380">
            <v>6.7</v>
          </cell>
          <cell r="F380">
            <v>53.96</v>
          </cell>
          <cell r="G380">
            <v>107859.1</v>
          </cell>
          <cell r="H380">
            <v>26.2</v>
          </cell>
          <cell r="I380" t="e">
            <v>#N/A</v>
          </cell>
        </row>
        <row r="381">
          <cell r="A381">
            <v>32781</v>
          </cell>
          <cell r="B381" t="e">
            <v>#N/A</v>
          </cell>
          <cell r="C381">
            <v>46</v>
          </cell>
          <cell r="D381" t="e">
            <v>#N/A</v>
          </cell>
          <cell r="E381">
            <v>6.2</v>
          </cell>
          <cell r="F381">
            <v>53.86</v>
          </cell>
          <cell r="G381">
            <v>106334.8</v>
          </cell>
          <cell r="H381">
            <v>26</v>
          </cell>
          <cell r="I381" t="e">
            <v>#N/A</v>
          </cell>
        </row>
        <row r="382">
          <cell r="A382">
            <v>32751</v>
          </cell>
          <cell r="B382" t="e">
            <v>#N/A</v>
          </cell>
          <cell r="C382">
            <v>45.1</v>
          </cell>
          <cell r="D382" t="e">
            <v>#N/A</v>
          </cell>
          <cell r="E382">
            <v>5.5</v>
          </cell>
          <cell r="F382">
            <v>53.55</v>
          </cell>
          <cell r="G382">
            <v>102240.2</v>
          </cell>
          <cell r="H382">
            <v>25.8</v>
          </cell>
          <cell r="I382" t="e">
            <v>#N/A</v>
          </cell>
        </row>
        <row r="383">
          <cell r="A383">
            <v>32720</v>
          </cell>
          <cell r="B383" t="e">
            <v>#N/A</v>
          </cell>
          <cell r="C383">
            <v>45.9</v>
          </cell>
          <cell r="D383" t="e">
            <v>#N/A</v>
          </cell>
          <cell r="E383">
            <v>5.3</v>
          </cell>
          <cell r="F383">
            <v>53.34</v>
          </cell>
          <cell r="G383">
            <v>101644.9</v>
          </cell>
          <cell r="H383">
            <v>25.6</v>
          </cell>
          <cell r="I383" t="e">
            <v>#N/A</v>
          </cell>
        </row>
        <row r="384">
          <cell r="A384">
            <v>32689</v>
          </cell>
          <cell r="B384" t="e">
            <v>#N/A</v>
          </cell>
          <cell r="C384">
            <v>47.3</v>
          </cell>
          <cell r="D384" t="e">
            <v>#N/A</v>
          </cell>
          <cell r="E384">
            <v>5.5</v>
          </cell>
          <cell r="F384">
            <v>53.7</v>
          </cell>
          <cell r="G384">
            <v>100113.60000000001</v>
          </cell>
          <cell r="H384">
            <v>25.4</v>
          </cell>
          <cell r="I384" t="e">
            <v>#N/A</v>
          </cell>
        </row>
        <row r="385">
          <cell r="A385">
            <v>32659</v>
          </cell>
          <cell r="B385" t="e">
            <v>#N/A</v>
          </cell>
          <cell r="C385">
            <v>49.3</v>
          </cell>
          <cell r="D385" t="e">
            <v>#N/A</v>
          </cell>
          <cell r="E385">
            <v>6</v>
          </cell>
          <cell r="F385">
            <v>53.7</v>
          </cell>
          <cell r="G385">
            <v>99437.9</v>
          </cell>
          <cell r="H385">
            <v>25.2</v>
          </cell>
          <cell r="I385" t="e">
            <v>#N/A</v>
          </cell>
        </row>
        <row r="386">
          <cell r="A386">
            <v>32628</v>
          </cell>
          <cell r="B386" t="e">
            <v>#N/A</v>
          </cell>
          <cell r="C386">
            <v>52.2</v>
          </cell>
          <cell r="D386" t="e">
            <v>#N/A</v>
          </cell>
          <cell r="E386">
            <v>5.2</v>
          </cell>
          <cell r="F386">
            <v>53.49</v>
          </cell>
          <cell r="G386">
            <v>98349.8</v>
          </cell>
          <cell r="H386">
            <v>24.9</v>
          </cell>
          <cell r="I386" t="e">
            <v>#N/A</v>
          </cell>
        </row>
        <row r="387">
          <cell r="A387">
            <v>32598</v>
          </cell>
          <cell r="B387" t="e">
            <v>#N/A</v>
          </cell>
          <cell r="C387">
            <v>51.5</v>
          </cell>
          <cell r="D387" t="e">
            <v>#N/A</v>
          </cell>
          <cell r="E387">
            <v>4.5999999999999996</v>
          </cell>
          <cell r="F387">
            <v>53.3</v>
          </cell>
          <cell r="G387">
            <v>97305.7</v>
          </cell>
          <cell r="H387">
            <v>24.7</v>
          </cell>
          <cell r="I387" t="e">
            <v>#N/A</v>
          </cell>
        </row>
        <row r="388">
          <cell r="A388">
            <v>32567</v>
          </cell>
          <cell r="B388" t="e">
            <v>#N/A</v>
          </cell>
          <cell r="C388">
            <v>54.1</v>
          </cell>
          <cell r="D388" t="e">
            <v>#N/A</v>
          </cell>
          <cell r="E388">
            <v>5.4</v>
          </cell>
          <cell r="F388">
            <v>53.3</v>
          </cell>
          <cell r="G388">
            <v>95118.399999999994</v>
          </cell>
          <cell r="H388">
            <v>24.5</v>
          </cell>
          <cell r="I388" t="e">
            <v>#N/A</v>
          </cell>
        </row>
        <row r="389">
          <cell r="A389">
            <v>32539</v>
          </cell>
          <cell r="B389" t="e">
            <v>#N/A</v>
          </cell>
          <cell r="C389">
            <v>54.7</v>
          </cell>
          <cell r="D389" t="e">
            <v>#N/A</v>
          </cell>
          <cell r="E389">
            <v>6.8</v>
          </cell>
          <cell r="F389">
            <v>53.19</v>
          </cell>
          <cell r="G389">
            <v>94284.800000000003</v>
          </cell>
          <cell r="H389">
            <v>24.3</v>
          </cell>
          <cell r="I389" t="e">
            <v>#N/A</v>
          </cell>
        </row>
        <row r="390">
          <cell r="A390">
            <v>32508</v>
          </cell>
          <cell r="B390" t="e">
            <v>#N/A</v>
          </cell>
          <cell r="C390">
            <v>56</v>
          </cell>
          <cell r="D390" t="e">
            <v>#N/A</v>
          </cell>
          <cell r="E390">
            <v>7.2</v>
          </cell>
          <cell r="F390">
            <v>53.3</v>
          </cell>
          <cell r="G390">
            <v>92669.9</v>
          </cell>
          <cell r="H390">
            <v>24</v>
          </cell>
          <cell r="I390" t="e">
            <v>#N/A</v>
          </cell>
        </row>
        <row r="391">
          <cell r="A391">
            <v>32477</v>
          </cell>
          <cell r="B391" t="e">
            <v>#N/A</v>
          </cell>
          <cell r="C391">
            <v>55.6</v>
          </cell>
          <cell r="D391" t="e">
            <v>#N/A</v>
          </cell>
          <cell r="E391">
            <v>7.1</v>
          </cell>
          <cell r="F391">
            <v>53.03</v>
          </cell>
          <cell r="G391">
            <v>89852.7</v>
          </cell>
          <cell r="H391">
            <v>23.9</v>
          </cell>
          <cell r="I391" t="e">
            <v>#N/A</v>
          </cell>
        </row>
        <row r="392">
          <cell r="A392">
            <v>32447</v>
          </cell>
          <cell r="B392" t="e">
            <v>#N/A</v>
          </cell>
          <cell r="C392">
            <v>55.4</v>
          </cell>
          <cell r="D392" t="e">
            <v>#N/A</v>
          </cell>
          <cell r="E392">
            <v>6.1</v>
          </cell>
          <cell r="F392">
            <v>52.71</v>
          </cell>
          <cell r="G392">
            <v>88234</v>
          </cell>
          <cell r="H392">
            <v>23.9</v>
          </cell>
          <cell r="I392" t="e">
            <v>#N/A</v>
          </cell>
        </row>
        <row r="393">
          <cell r="A393">
            <v>32416</v>
          </cell>
          <cell r="B393" t="e">
            <v>#N/A</v>
          </cell>
          <cell r="C393">
            <v>54.5</v>
          </cell>
          <cell r="D393" t="e">
            <v>#N/A</v>
          </cell>
          <cell r="E393">
            <v>6.5</v>
          </cell>
          <cell r="F393">
            <v>53.03</v>
          </cell>
          <cell r="G393">
            <v>86817.5</v>
          </cell>
          <cell r="H393">
            <v>23.8</v>
          </cell>
          <cell r="I393" t="e">
            <v>#N/A</v>
          </cell>
        </row>
        <row r="394">
          <cell r="A394">
            <v>32386</v>
          </cell>
          <cell r="B394" t="e">
            <v>#N/A</v>
          </cell>
          <cell r="C394">
            <v>56</v>
          </cell>
          <cell r="D394" t="e">
            <v>#N/A</v>
          </cell>
          <cell r="E394">
            <v>6.9</v>
          </cell>
          <cell r="F394">
            <v>53.19</v>
          </cell>
          <cell r="G394">
            <v>84337.4</v>
          </cell>
          <cell r="H394">
            <v>23.7</v>
          </cell>
          <cell r="I394" t="e">
            <v>#N/A</v>
          </cell>
        </row>
        <row r="395">
          <cell r="A395">
            <v>32355</v>
          </cell>
          <cell r="B395" t="e">
            <v>#N/A</v>
          </cell>
          <cell r="C395">
            <v>58.2</v>
          </cell>
          <cell r="D395" t="e">
            <v>#N/A</v>
          </cell>
          <cell r="E395">
            <v>7.9</v>
          </cell>
          <cell r="F395">
            <v>52.93</v>
          </cell>
          <cell r="G395">
            <v>81603.600000000006</v>
          </cell>
          <cell r="H395">
            <v>23.5</v>
          </cell>
          <cell r="I395" t="e">
            <v>#N/A</v>
          </cell>
        </row>
        <row r="396">
          <cell r="A396">
            <v>32324</v>
          </cell>
          <cell r="B396" t="e">
            <v>#N/A</v>
          </cell>
          <cell r="C396">
            <v>59.3</v>
          </cell>
          <cell r="D396" t="e">
            <v>#N/A</v>
          </cell>
          <cell r="E396">
            <v>7.4</v>
          </cell>
          <cell r="F396">
            <v>52.71</v>
          </cell>
          <cell r="G396">
            <v>80297.8</v>
          </cell>
          <cell r="H396">
            <v>23.3</v>
          </cell>
          <cell r="I396" t="e">
            <v>#N/A</v>
          </cell>
        </row>
        <row r="397">
          <cell r="A397">
            <v>32294</v>
          </cell>
          <cell r="B397" t="e">
            <v>#N/A</v>
          </cell>
          <cell r="C397">
            <v>55.5</v>
          </cell>
          <cell r="D397" t="e">
            <v>#N/A</v>
          </cell>
          <cell r="E397">
            <v>6.6</v>
          </cell>
          <cell r="F397">
            <v>52.67</v>
          </cell>
          <cell r="G397">
            <v>78183.3</v>
          </cell>
          <cell r="H397">
            <v>23.2</v>
          </cell>
          <cell r="I397" t="e">
            <v>#N/A</v>
          </cell>
        </row>
        <row r="398">
          <cell r="A398">
            <v>32263</v>
          </cell>
          <cell r="B398" t="e">
            <v>#N/A</v>
          </cell>
          <cell r="C398">
            <v>55.8</v>
          </cell>
          <cell r="D398" t="e">
            <v>#N/A</v>
          </cell>
          <cell r="E398">
            <v>7.7</v>
          </cell>
          <cell r="F398">
            <v>52.45</v>
          </cell>
          <cell r="G398">
            <v>77444.2</v>
          </cell>
          <cell r="H398">
            <v>23</v>
          </cell>
          <cell r="I398" t="e">
            <v>#N/A</v>
          </cell>
        </row>
        <row r="399">
          <cell r="A399">
            <v>32233</v>
          </cell>
          <cell r="B399" t="e">
            <v>#N/A</v>
          </cell>
          <cell r="C399">
            <v>54.6</v>
          </cell>
          <cell r="D399" t="e">
            <v>#N/A</v>
          </cell>
          <cell r="E399">
            <v>8.5</v>
          </cell>
          <cell r="F399">
            <v>52.61</v>
          </cell>
          <cell r="G399">
            <v>76071.899999999994</v>
          </cell>
          <cell r="H399">
            <v>22.9</v>
          </cell>
          <cell r="I399" t="e">
            <v>#N/A</v>
          </cell>
        </row>
        <row r="400">
          <cell r="A400">
            <v>32202</v>
          </cell>
          <cell r="B400" t="e">
            <v>#N/A</v>
          </cell>
          <cell r="C400">
            <v>56.2</v>
          </cell>
          <cell r="D400" t="e">
            <v>#N/A</v>
          </cell>
          <cell r="E400">
            <v>7.8</v>
          </cell>
          <cell r="F400">
            <v>52.71</v>
          </cell>
          <cell r="G400">
            <v>74175.100000000006</v>
          </cell>
          <cell r="H400">
            <v>22.8</v>
          </cell>
          <cell r="I400" t="e">
            <v>#N/A</v>
          </cell>
        </row>
        <row r="401">
          <cell r="A401">
            <v>32173</v>
          </cell>
          <cell r="B401" t="e">
            <v>#N/A</v>
          </cell>
          <cell r="C401">
            <v>57.5</v>
          </cell>
          <cell r="D401" t="e">
            <v>#N/A</v>
          </cell>
          <cell r="E401">
            <v>6.2</v>
          </cell>
          <cell r="F401">
            <v>52.41</v>
          </cell>
          <cell r="G401">
            <v>73489.600000000006</v>
          </cell>
          <cell r="H401">
            <v>22.6</v>
          </cell>
          <cell r="I401" t="e">
            <v>#N/A</v>
          </cell>
        </row>
        <row r="402">
          <cell r="A402">
            <v>32142</v>
          </cell>
          <cell r="B402" t="e">
            <v>#N/A</v>
          </cell>
          <cell r="C402">
            <v>61</v>
          </cell>
          <cell r="D402" t="e">
            <v>#N/A</v>
          </cell>
          <cell r="E402">
            <v>6.1</v>
          </cell>
          <cell r="F402">
            <v>52.1</v>
          </cell>
          <cell r="G402">
            <v>71136.899999999994</v>
          </cell>
          <cell r="H402">
            <v>22.5</v>
          </cell>
          <cell r="I402" t="e">
            <v>#N/A</v>
          </cell>
        </row>
        <row r="403">
          <cell r="A403">
            <v>32111</v>
          </cell>
          <cell r="B403" t="e">
            <v>#N/A</v>
          </cell>
          <cell r="C403">
            <v>58.8</v>
          </cell>
          <cell r="D403" t="e">
            <v>#N/A</v>
          </cell>
          <cell r="E403">
            <v>5.2</v>
          </cell>
          <cell r="F403">
            <v>51.46</v>
          </cell>
          <cell r="G403">
            <v>68045.2</v>
          </cell>
          <cell r="H403">
            <v>22.3</v>
          </cell>
          <cell r="I403" t="e">
            <v>#N/A</v>
          </cell>
        </row>
        <row r="404">
          <cell r="A404">
            <v>32081</v>
          </cell>
          <cell r="B404" t="e">
            <v>#N/A</v>
          </cell>
          <cell r="C404">
            <v>60.7</v>
          </cell>
          <cell r="D404" t="e">
            <v>#N/A</v>
          </cell>
          <cell r="E404">
            <v>5.2</v>
          </cell>
          <cell r="F404">
            <v>51.68</v>
          </cell>
          <cell r="G404">
            <v>67420.899999999994</v>
          </cell>
          <cell r="H404">
            <v>22.1</v>
          </cell>
          <cell r="I404" t="e">
            <v>#N/A</v>
          </cell>
        </row>
        <row r="405">
          <cell r="A405">
            <v>32050</v>
          </cell>
          <cell r="B405" t="e">
            <v>#N/A</v>
          </cell>
          <cell r="C405">
            <v>60</v>
          </cell>
          <cell r="D405" t="e">
            <v>#N/A</v>
          </cell>
          <cell r="E405">
            <v>4.0999999999999996</v>
          </cell>
          <cell r="F405">
            <v>51.78</v>
          </cell>
          <cell r="G405">
            <v>66092.2</v>
          </cell>
          <cell r="H405">
            <v>21.9</v>
          </cell>
          <cell r="I405" t="e">
            <v>#N/A</v>
          </cell>
        </row>
        <row r="406">
          <cell r="A406">
            <v>32020</v>
          </cell>
          <cell r="B406" t="e">
            <v>#N/A</v>
          </cell>
          <cell r="C406">
            <v>59.3</v>
          </cell>
          <cell r="D406" t="e">
            <v>#N/A</v>
          </cell>
          <cell r="E406">
            <v>4</v>
          </cell>
          <cell r="F406">
            <v>51.52</v>
          </cell>
          <cell r="G406">
            <v>63965.3</v>
          </cell>
          <cell r="H406">
            <v>21.7</v>
          </cell>
          <cell r="I406" t="e">
            <v>#N/A</v>
          </cell>
        </row>
        <row r="407">
          <cell r="A407">
            <v>31989</v>
          </cell>
          <cell r="B407" t="e">
            <v>#N/A</v>
          </cell>
          <cell r="C407">
            <v>57.5</v>
          </cell>
          <cell r="D407" t="e">
            <v>#N/A</v>
          </cell>
          <cell r="E407">
            <v>2.4</v>
          </cell>
          <cell r="F407">
            <v>51.26</v>
          </cell>
          <cell r="G407">
            <v>62808.5</v>
          </cell>
          <cell r="H407">
            <v>21.6</v>
          </cell>
          <cell r="I407" t="e">
            <v>#N/A</v>
          </cell>
        </row>
        <row r="408">
          <cell r="A408">
            <v>31958</v>
          </cell>
          <cell r="B408" t="e">
            <v>#N/A</v>
          </cell>
          <cell r="C408">
            <v>57.4</v>
          </cell>
          <cell r="D408" t="e">
            <v>#N/A</v>
          </cell>
          <cell r="E408">
            <v>2.8</v>
          </cell>
          <cell r="F408">
            <v>51.26</v>
          </cell>
          <cell r="G408">
            <v>61865.2</v>
          </cell>
          <cell r="H408">
            <v>21.4</v>
          </cell>
          <cell r="I408" t="e">
            <v>#N/A</v>
          </cell>
        </row>
        <row r="409">
          <cell r="A409">
            <v>31928</v>
          </cell>
          <cell r="B409" t="e">
            <v>#N/A</v>
          </cell>
          <cell r="C409">
            <v>57.2</v>
          </cell>
          <cell r="D409" t="e">
            <v>#N/A</v>
          </cell>
          <cell r="E409">
            <v>2.7</v>
          </cell>
          <cell r="F409">
            <v>51.68</v>
          </cell>
          <cell r="G409">
            <v>60628.4</v>
          </cell>
          <cell r="H409">
            <v>21.3</v>
          </cell>
          <cell r="I409" t="e">
            <v>#N/A</v>
          </cell>
        </row>
        <row r="410">
          <cell r="A410">
            <v>31897</v>
          </cell>
          <cell r="B410" t="e">
            <v>#N/A</v>
          </cell>
          <cell r="C410">
            <v>55.5</v>
          </cell>
          <cell r="D410" t="e">
            <v>#N/A</v>
          </cell>
          <cell r="E410">
            <v>1.8</v>
          </cell>
          <cell r="F410">
            <v>51.46</v>
          </cell>
          <cell r="G410">
            <v>58917.5</v>
          </cell>
          <cell r="H410">
            <v>21.2</v>
          </cell>
          <cell r="I410" t="e">
            <v>#N/A</v>
          </cell>
        </row>
        <row r="411">
          <cell r="A411">
            <v>31867</v>
          </cell>
          <cell r="B411" t="e">
            <v>#N/A</v>
          </cell>
          <cell r="C411">
            <v>55</v>
          </cell>
          <cell r="D411" t="e">
            <v>#N/A</v>
          </cell>
          <cell r="E411">
            <v>1.1000000000000001</v>
          </cell>
          <cell r="F411">
            <v>51.06</v>
          </cell>
          <cell r="G411">
            <v>57398</v>
          </cell>
          <cell r="H411">
            <v>21</v>
          </cell>
          <cell r="I411" t="e">
            <v>#N/A</v>
          </cell>
        </row>
        <row r="412">
          <cell r="A412">
            <v>31836</v>
          </cell>
          <cell r="B412" t="e">
            <v>#N/A</v>
          </cell>
          <cell r="C412">
            <v>52.6</v>
          </cell>
          <cell r="D412" t="e">
            <v>#N/A</v>
          </cell>
          <cell r="E412">
            <v>0.5</v>
          </cell>
          <cell r="F412">
            <v>50.9</v>
          </cell>
          <cell r="G412">
            <v>55509.3</v>
          </cell>
          <cell r="H412">
            <v>20.9</v>
          </cell>
          <cell r="I412" t="e">
            <v>#N/A</v>
          </cell>
        </row>
        <row r="413">
          <cell r="A413">
            <v>31808</v>
          </cell>
          <cell r="B413" t="e">
            <v>#N/A</v>
          </cell>
          <cell r="C413">
            <v>54.9</v>
          </cell>
          <cell r="D413" t="e">
            <v>#N/A</v>
          </cell>
          <cell r="E413">
            <v>0.9</v>
          </cell>
          <cell r="F413">
            <v>50.79</v>
          </cell>
          <cell r="G413">
            <v>54519.6</v>
          </cell>
          <cell r="H413">
            <v>20.7</v>
          </cell>
          <cell r="I413" t="e">
            <v>#N/A</v>
          </cell>
        </row>
        <row r="414">
          <cell r="A414">
            <v>31777</v>
          </cell>
          <cell r="B414" t="e">
            <v>#N/A</v>
          </cell>
          <cell r="C414">
            <v>50.5</v>
          </cell>
          <cell r="D414" t="e">
            <v>#N/A</v>
          </cell>
          <cell r="E414">
            <v>1.4</v>
          </cell>
          <cell r="F414">
            <v>50.74</v>
          </cell>
          <cell r="G414">
            <v>53753.5</v>
          </cell>
          <cell r="H414">
            <v>20.6</v>
          </cell>
          <cell r="I414" t="e">
            <v>#N/A</v>
          </cell>
        </row>
        <row r="415">
          <cell r="A415">
            <v>31746</v>
          </cell>
          <cell r="B415" t="e">
            <v>#N/A</v>
          </cell>
          <cell r="C415">
            <v>51.2</v>
          </cell>
          <cell r="D415" t="e">
            <v>#N/A</v>
          </cell>
          <cell r="E415">
            <v>2</v>
          </cell>
          <cell r="F415">
            <v>50.69</v>
          </cell>
          <cell r="G415">
            <v>52342.2</v>
          </cell>
          <cell r="H415">
            <v>20.5</v>
          </cell>
          <cell r="I415" t="e">
            <v>#N/A</v>
          </cell>
        </row>
        <row r="416">
          <cell r="A416">
            <v>31716</v>
          </cell>
          <cell r="B416" t="e">
            <v>#N/A</v>
          </cell>
          <cell r="C416">
            <v>51.2</v>
          </cell>
          <cell r="D416" t="e">
            <v>#N/A</v>
          </cell>
          <cell r="E416">
            <v>1</v>
          </cell>
          <cell r="F416">
            <v>50.74</v>
          </cell>
          <cell r="G416">
            <v>51406.5</v>
          </cell>
          <cell r="H416">
            <v>20.3</v>
          </cell>
          <cell r="I416" t="e">
            <v>#N/A</v>
          </cell>
        </row>
        <row r="417">
          <cell r="A417">
            <v>31685</v>
          </cell>
          <cell r="B417" t="e">
            <v>#N/A</v>
          </cell>
          <cell r="C417">
            <v>52.4</v>
          </cell>
          <cell r="D417" t="e">
            <v>#N/A</v>
          </cell>
          <cell r="E417">
            <v>2.2999999999999998</v>
          </cell>
          <cell r="F417">
            <v>51.2</v>
          </cell>
          <cell r="G417">
            <v>50743.6</v>
          </cell>
          <cell r="H417">
            <v>20.2</v>
          </cell>
          <cell r="I417" t="e">
            <v>#N/A</v>
          </cell>
        </row>
        <row r="418">
          <cell r="A418">
            <v>31655</v>
          </cell>
          <cell r="B418" t="e">
            <v>#N/A</v>
          </cell>
          <cell r="C418">
            <v>52.6</v>
          </cell>
          <cell r="D418" t="e">
            <v>#N/A</v>
          </cell>
          <cell r="E418">
            <v>2.8</v>
          </cell>
          <cell r="F418">
            <v>51.06</v>
          </cell>
          <cell r="G418">
            <v>49027.6</v>
          </cell>
          <cell r="H418">
            <v>20</v>
          </cell>
          <cell r="I418" t="e">
            <v>#N/A</v>
          </cell>
        </row>
        <row r="419">
          <cell r="A419">
            <v>31624</v>
          </cell>
          <cell r="B419" t="e">
            <v>#N/A</v>
          </cell>
          <cell r="C419">
            <v>48</v>
          </cell>
          <cell r="D419" t="e">
            <v>#N/A</v>
          </cell>
          <cell r="E419">
            <v>3.1</v>
          </cell>
          <cell r="F419">
            <v>51.06</v>
          </cell>
          <cell r="G419">
            <v>47960.7</v>
          </cell>
          <cell r="H419">
            <v>19.899999999999999</v>
          </cell>
          <cell r="I419" t="e">
            <v>#N/A</v>
          </cell>
        </row>
        <row r="420">
          <cell r="A420">
            <v>31593</v>
          </cell>
          <cell r="B420" t="e">
            <v>#N/A</v>
          </cell>
          <cell r="C420">
            <v>50.5</v>
          </cell>
          <cell r="D420" t="e">
            <v>#N/A</v>
          </cell>
          <cell r="E420">
            <v>3</v>
          </cell>
          <cell r="F420">
            <v>51.01</v>
          </cell>
          <cell r="G420">
            <v>47043.5</v>
          </cell>
          <cell r="H420">
            <v>19.7</v>
          </cell>
          <cell r="I420" t="e">
            <v>#N/A</v>
          </cell>
        </row>
        <row r="421">
          <cell r="A421">
            <v>31563</v>
          </cell>
          <cell r="B421" t="e">
            <v>#N/A</v>
          </cell>
          <cell r="C421">
            <v>53.4</v>
          </cell>
          <cell r="D421" t="e">
            <v>#N/A</v>
          </cell>
          <cell r="E421">
            <v>3.3</v>
          </cell>
          <cell r="F421">
            <v>51.17</v>
          </cell>
          <cell r="G421">
            <v>46197.5</v>
          </cell>
          <cell r="H421">
            <v>19.600000000000001</v>
          </cell>
          <cell r="I421" t="e">
            <v>#N/A</v>
          </cell>
        </row>
        <row r="422">
          <cell r="A422">
            <v>31532</v>
          </cell>
          <cell r="B422" t="e">
            <v>#N/A</v>
          </cell>
          <cell r="C422">
            <v>49.7</v>
          </cell>
          <cell r="D422" t="e">
            <v>#N/A</v>
          </cell>
          <cell r="E422">
            <v>3.4</v>
          </cell>
          <cell r="F422">
            <v>51.11</v>
          </cell>
          <cell r="G422">
            <v>45188.7</v>
          </cell>
          <cell r="H422">
            <v>19.399999999999999</v>
          </cell>
          <cell r="I422" t="e">
            <v>#N/A</v>
          </cell>
        </row>
        <row r="423">
          <cell r="A423">
            <v>31502</v>
          </cell>
          <cell r="B423" t="e">
            <v>#N/A</v>
          </cell>
          <cell r="C423">
            <v>51</v>
          </cell>
          <cell r="D423" t="e">
            <v>#N/A</v>
          </cell>
          <cell r="E423">
            <v>3.6</v>
          </cell>
          <cell r="F423">
            <v>51.37</v>
          </cell>
          <cell r="G423">
            <v>44587.1</v>
          </cell>
          <cell r="H423">
            <v>19.2</v>
          </cell>
          <cell r="I423" t="e">
            <v>#N/A</v>
          </cell>
        </row>
        <row r="424">
          <cell r="A424">
            <v>31471</v>
          </cell>
          <cell r="B424" t="e">
            <v>#N/A</v>
          </cell>
          <cell r="C424">
            <v>51</v>
          </cell>
          <cell r="D424" t="e">
            <v>#N/A</v>
          </cell>
          <cell r="E424">
            <v>3.5</v>
          </cell>
          <cell r="F424">
            <v>51.84</v>
          </cell>
          <cell r="G424">
            <v>43492.4</v>
          </cell>
          <cell r="H424">
            <v>19</v>
          </cell>
          <cell r="I424" t="e">
            <v>#N/A</v>
          </cell>
        </row>
        <row r="425">
          <cell r="A425">
            <v>31443</v>
          </cell>
          <cell r="B425" t="e">
            <v>#N/A</v>
          </cell>
          <cell r="C425">
            <v>51.2</v>
          </cell>
          <cell r="D425" t="e">
            <v>#N/A</v>
          </cell>
          <cell r="E425">
            <v>3.7</v>
          </cell>
          <cell r="F425">
            <v>52.2</v>
          </cell>
          <cell r="G425">
            <v>43133.599999999999</v>
          </cell>
          <cell r="H425">
            <v>18.899999999999999</v>
          </cell>
          <cell r="I425" t="e">
            <v>#N/A</v>
          </cell>
        </row>
        <row r="426">
          <cell r="A426">
            <v>31412</v>
          </cell>
          <cell r="B426" t="e">
            <v>#N/A</v>
          </cell>
          <cell r="C426">
            <v>50.7</v>
          </cell>
          <cell r="D426" t="e">
            <v>#N/A</v>
          </cell>
          <cell r="E426">
            <v>3</v>
          </cell>
          <cell r="F426">
            <v>52.1</v>
          </cell>
          <cell r="G426" t="e">
            <v>#N/A</v>
          </cell>
          <cell r="H426">
            <v>18.7</v>
          </cell>
          <cell r="I426" t="e">
            <v>#N/A</v>
          </cell>
        </row>
        <row r="427">
          <cell r="A427">
            <v>31381</v>
          </cell>
          <cell r="B427" t="e">
            <v>#N/A</v>
          </cell>
          <cell r="C427">
            <v>52</v>
          </cell>
          <cell r="D427" t="e">
            <v>#N/A</v>
          </cell>
          <cell r="E427">
            <v>2.4</v>
          </cell>
          <cell r="F427">
            <v>51.84</v>
          </cell>
          <cell r="G427" t="e">
            <v>#N/A</v>
          </cell>
          <cell r="H427">
            <v>18.5</v>
          </cell>
          <cell r="I427" t="e">
            <v>#N/A</v>
          </cell>
        </row>
        <row r="428">
          <cell r="A428">
            <v>31351</v>
          </cell>
          <cell r="B428" t="e">
            <v>#N/A</v>
          </cell>
          <cell r="C428">
            <v>50.9</v>
          </cell>
          <cell r="D428" t="e">
            <v>#N/A</v>
          </cell>
          <cell r="E428">
            <v>3.4</v>
          </cell>
          <cell r="F428">
            <v>52.15</v>
          </cell>
          <cell r="G428" t="e">
            <v>#N/A</v>
          </cell>
          <cell r="H428">
            <v>18.399999999999999</v>
          </cell>
          <cell r="I428" t="e">
            <v>#N/A</v>
          </cell>
        </row>
        <row r="429">
          <cell r="A429">
            <v>31320</v>
          </cell>
          <cell r="B429" t="e">
            <v>#N/A</v>
          </cell>
          <cell r="C429">
            <v>49.9</v>
          </cell>
          <cell r="D429" t="e">
            <v>#N/A</v>
          </cell>
          <cell r="E429">
            <v>2.6</v>
          </cell>
          <cell r="F429">
            <v>52.1</v>
          </cell>
          <cell r="G429" t="e">
            <v>#N/A</v>
          </cell>
          <cell r="H429">
            <v>18.3</v>
          </cell>
          <cell r="I429" t="e">
            <v>#N/A</v>
          </cell>
        </row>
        <row r="430">
          <cell r="A430">
            <v>31290</v>
          </cell>
          <cell r="B430" t="e">
            <v>#N/A</v>
          </cell>
          <cell r="C430">
            <v>47.7</v>
          </cell>
          <cell r="D430" t="e">
            <v>#N/A</v>
          </cell>
          <cell r="E430">
            <v>2.6</v>
          </cell>
          <cell r="F430">
            <v>51.94</v>
          </cell>
          <cell r="G430" t="e">
            <v>#N/A</v>
          </cell>
          <cell r="H430">
            <v>18.100000000000001</v>
          </cell>
          <cell r="I430" t="e">
            <v>#N/A</v>
          </cell>
        </row>
        <row r="431">
          <cell r="A431">
            <v>31259</v>
          </cell>
          <cell r="B431" t="e">
            <v>#N/A</v>
          </cell>
          <cell r="C431">
            <v>47.9</v>
          </cell>
          <cell r="D431" t="e">
            <v>#N/A</v>
          </cell>
          <cell r="E431">
            <v>3</v>
          </cell>
          <cell r="F431">
            <v>51.94</v>
          </cell>
          <cell r="G431" t="e">
            <v>#N/A</v>
          </cell>
          <cell r="H431">
            <v>17.899999999999999</v>
          </cell>
          <cell r="I431" t="e">
            <v>#N/A</v>
          </cell>
        </row>
        <row r="432">
          <cell r="A432">
            <v>31228</v>
          </cell>
          <cell r="B432" t="e">
            <v>#N/A</v>
          </cell>
          <cell r="C432">
            <v>47.8</v>
          </cell>
          <cell r="D432" t="e">
            <v>#N/A</v>
          </cell>
          <cell r="E432">
            <v>3</v>
          </cell>
          <cell r="F432">
            <v>51.89</v>
          </cell>
          <cell r="G432" t="e">
            <v>#N/A</v>
          </cell>
          <cell r="H432">
            <v>17.8</v>
          </cell>
          <cell r="I432" t="e">
            <v>#N/A</v>
          </cell>
        </row>
        <row r="433">
          <cell r="A433">
            <v>31198</v>
          </cell>
          <cell r="B433" t="e">
            <v>#N/A</v>
          </cell>
          <cell r="C433">
            <v>47.1</v>
          </cell>
          <cell r="D433" t="e">
            <v>#N/A</v>
          </cell>
          <cell r="E433">
            <v>2.2999999999999998</v>
          </cell>
          <cell r="F433">
            <v>51.89</v>
          </cell>
          <cell r="G433" t="e">
            <v>#N/A</v>
          </cell>
          <cell r="H433">
            <v>17.7</v>
          </cell>
          <cell r="I433" t="e">
            <v>#N/A</v>
          </cell>
        </row>
        <row r="434">
          <cell r="A434">
            <v>31167</v>
          </cell>
          <cell r="B434" t="e">
            <v>#N/A</v>
          </cell>
          <cell r="C434">
            <v>48.2</v>
          </cell>
          <cell r="D434" t="e">
            <v>#N/A</v>
          </cell>
          <cell r="E434">
            <v>1.5</v>
          </cell>
          <cell r="F434">
            <v>51.94</v>
          </cell>
          <cell r="G434" t="e">
            <v>#N/A</v>
          </cell>
          <cell r="H434">
            <v>17.7</v>
          </cell>
          <cell r="I434" t="e">
            <v>#N/A</v>
          </cell>
        </row>
        <row r="435">
          <cell r="A435">
            <v>31137</v>
          </cell>
          <cell r="B435" t="e">
            <v>#N/A</v>
          </cell>
          <cell r="C435">
            <v>47.8</v>
          </cell>
          <cell r="D435" t="e">
            <v>#N/A</v>
          </cell>
          <cell r="E435">
            <v>1.7</v>
          </cell>
          <cell r="F435">
            <v>51.68</v>
          </cell>
          <cell r="G435" t="e">
            <v>#N/A</v>
          </cell>
          <cell r="H435">
            <v>17.5</v>
          </cell>
          <cell r="I435" t="e">
            <v>#N/A</v>
          </cell>
        </row>
        <row r="436">
          <cell r="A436">
            <v>31106</v>
          </cell>
          <cell r="B436" t="e">
            <v>#N/A</v>
          </cell>
          <cell r="C436">
            <v>49.9</v>
          </cell>
          <cell r="D436" t="e">
            <v>#N/A</v>
          </cell>
          <cell r="E436">
            <v>1.9</v>
          </cell>
          <cell r="F436">
            <v>51.89</v>
          </cell>
          <cell r="G436" t="e">
            <v>#N/A</v>
          </cell>
          <cell r="H436">
            <v>17.399999999999999</v>
          </cell>
          <cell r="I436" t="e">
            <v>#N/A</v>
          </cell>
        </row>
        <row r="437">
          <cell r="A437">
            <v>31078</v>
          </cell>
          <cell r="B437" t="e">
            <v>#N/A</v>
          </cell>
          <cell r="C437">
            <v>50.3</v>
          </cell>
          <cell r="D437" t="e">
            <v>#N/A</v>
          </cell>
          <cell r="E437">
            <v>2.1</v>
          </cell>
          <cell r="F437">
            <v>51.94</v>
          </cell>
          <cell r="G437" t="e">
            <v>#N/A</v>
          </cell>
          <cell r="H437">
            <v>17.3</v>
          </cell>
          <cell r="I437" t="e">
            <v>#N/A</v>
          </cell>
        </row>
        <row r="438">
          <cell r="A438">
            <v>31047</v>
          </cell>
          <cell r="B438" t="e">
            <v>#N/A</v>
          </cell>
          <cell r="C438">
            <v>50.6</v>
          </cell>
          <cell r="D438" t="e">
            <v>#N/A</v>
          </cell>
          <cell r="E438">
            <v>2.4</v>
          </cell>
          <cell r="F438">
            <v>51.81</v>
          </cell>
          <cell r="G438" t="e">
            <v>#N/A</v>
          </cell>
          <cell r="H438">
            <v>17.2</v>
          </cell>
          <cell r="I438" t="e">
            <v>#N/A</v>
          </cell>
        </row>
        <row r="439">
          <cell r="A439">
            <v>31016</v>
          </cell>
          <cell r="B439" t="e">
            <v>#N/A</v>
          </cell>
          <cell r="C439">
            <v>50.3</v>
          </cell>
          <cell r="D439" t="e">
            <v>#N/A</v>
          </cell>
          <cell r="E439">
            <v>2.7</v>
          </cell>
          <cell r="F439">
            <v>51.66</v>
          </cell>
          <cell r="G439" t="e">
            <v>#N/A</v>
          </cell>
          <cell r="H439">
            <v>17.100000000000001</v>
          </cell>
          <cell r="I439" t="e">
            <v>#N/A</v>
          </cell>
        </row>
        <row r="440">
          <cell r="A440">
            <v>30986</v>
          </cell>
          <cell r="B440" t="e">
            <v>#N/A</v>
          </cell>
          <cell r="C440">
            <v>50.8</v>
          </cell>
          <cell r="D440" t="e">
            <v>#N/A</v>
          </cell>
          <cell r="E440">
            <v>2.7</v>
          </cell>
          <cell r="F440">
            <v>51.86</v>
          </cell>
          <cell r="G440" t="e">
            <v>#N/A</v>
          </cell>
          <cell r="H440">
            <v>16.899999999999999</v>
          </cell>
          <cell r="I440" t="e">
            <v>#N/A</v>
          </cell>
        </row>
        <row r="441">
          <cell r="A441">
            <v>30955</v>
          </cell>
          <cell r="B441" t="e">
            <v>#N/A</v>
          </cell>
          <cell r="C441">
            <v>50</v>
          </cell>
          <cell r="D441" t="e">
            <v>#N/A</v>
          </cell>
          <cell r="E441">
            <v>3.2</v>
          </cell>
          <cell r="F441">
            <v>52.25</v>
          </cell>
          <cell r="G441" t="e">
            <v>#N/A</v>
          </cell>
          <cell r="H441">
            <v>16.7</v>
          </cell>
          <cell r="I441" t="e">
            <v>#N/A</v>
          </cell>
        </row>
        <row r="442">
          <cell r="A442">
            <v>30925</v>
          </cell>
          <cell r="B442" t="e">
            <v>#N/A</v>
          </cell>
          <cell r="C442">
            <v>53</v>
          </cell>
          <cell r="D442" t="e">
            <v>#N/A</v>
          </cell>
          <cell r="E442">
            <v>2.2000000000000002</v>
          </cell>
          <cell r="F442">
            <v>51.66</v>
          </cell>
          <cell r="G442" t="e">
            <v>#N/A</v>
          </cell>
          <cell r="H442">
            <v>16.7</v>
          </cell>
          <cell r="I442" t="e">
            <v>#N/A</v>
          </cell>
        </row>
        <row r="443">
          <cell r="A443">
            <v>30894</v>
          </cell>
          <cell r="B443" t="e">
            <v>#N/A</v>
          </cell>
          <cell r="C443">
            <v>56.1</v>
          </cell>
          <cell r="D443" t="e">
            <v>#N/A</v>
          </cell>
          <cell r="E443">
            <v>1.7</v>
          </cell>
          <cell r="F443">
            <v>51.24</v>
          </cell>
          <cell r="G443" t="e">
            <v>#N/A</v>
          </cell>
          <cell r="H443">
            <v>16.600000000000001</v>
          </cell>
          <cell r="I443" t="e">
            <v>#N/A</v>
          </cell>
        </row>
        <row r="444">
          <cell r="A444">
            <v>30863</v>
          </cell>
          <cell r="B444" t="e">
            <v>#N/A</v>
          </cell>
          <cell r="C444">
            <v>58.1</v>
          </cell>
          <cell r="D444" t="e">
            <v>#N/A</v>
          </cell>
          <cell r="E444">
            <v>1.7</v>
          </cell>
          <cell r="F444">
            <v>51.09</v>
          </cell>
          <cell r="G444" t="e">
            <v>#N/A</v>
          </cell>
          <cell r="H444">
            <v>16.5</v>
          </cell>
          <cell r="I444" t="e">
            <v>#N/A</v>
          </cell>
        </row>
        <row r="445">
          <cell r="A445">
            <v>30833</v>
          </cell>
          <cell r="B445" t="e">
            <v>#N/A</v>
          </cell>
          <cell r="C445">
            <v>58.6</v>
          </cell>
          <cell r="D445" t="e">
            <v>#N/A</v>
          </cell>
          <cell r="E445">
            <v>2.2000000000000002</v>
          </cell>
          <cell r="F445">
            <v>51.28</v>
          </cell>
          <cell r="G445" t="e">
            <v>#N/A</v>
          </cell>
          <cell r="H445">
            <v>16.399999999999999</v>
          </cell>
          <cell r="I445" t="e">
            <v>#N/A</v>
          </cell>
        </row>
        <row r="446">
          <cell r="A446">
            <v>30802</v>
          </cell>
          <cell r="B446" t="e">
            <v>#N/A</v>
          </cell>
          <cell r="C446">
            <v>61</v>
          </cell>
          <cell r="D446" t="e">
            <v>#N/A</v>
          </cell>
          <cell r="E446">
            <v>2.6</v>
          </cell>
          <cell r="F446">
            <v>51.49</v>
          </cell>
          <cell r="G446" t="e">
            <v>#N/A</v>
          </cell>
          <cell r="H446">
            <v>16.3</v>
          </cell>
          <cell r="I446" t="e">
            <v>#N/A</v>
          </cell>
        </row>
        <row r="447">
          <cell r="A447">
            <v>30772</v>
          </cell>
          <cell r="B447" t="e">
            <v>#N/A</v>
          </cell>
          <cell r="C447">
            <v>58.9</v>
          </cell>
          <cell r="D447" t="e">
            <v>#N/A</v>
          </cell>
          <cell r="E447">
            <v>2</v>
          </cell>
          <cell r="F447">
            <v>51.2</v>
          </cell>
          <cell r="G447" t="e">
            <v>#N/A</v>
          </cell>
          <cell r="H447">
            <v>16.2</v>
          </cell>
          <cell r="I447" t="e">
            <v>#N/A</v>
          </cell>
        </row>
        <row r="448">
          <cell r="A448">
            <v>30741</v>
          </cell>
          <cell r="B448" t="e">
            <v>#N/A</v>
          </cell>
          <cell r="C448">
            <v>61.3</v>
          </cell>
          <cell r="D448" t="e">
            <v>#N/A</v>
          </cell>
          <cell r="E448">
            <v>2</v>
          </cell>
          <cell r="F448">
            <v>51.17</v>
          </cell>
          <cell r="G448" t="e">
            <v>#N/A</v>
          </cell>
          <cell r="H448">
            <v>16.100000000000001</v>
          </cell>
          <cell r="I448" t="e">
            <v>#N/A</v>
          </cell>
        </row>
        <row r="449">
          <cell r="A449">
            <v>30712</v>
          </cell>
          <cell r="B449" t="e">
            <v>#N/A</v>
          </cell>
          <cell r="C449">
            <v>60.5</v>
          </cell>
          <cell r="D449" t="e">
            <v>#N/A</v>
          </cell>
          <cell r="E449">
            <v>1.8</v>
          </cell>
          <cell r="F449">
            <v>51.05</v>
          </cell>
          <cell r="G449" t="e">
            <v>#N/A</v>
          </cell>
          <cell r="H449">
            <v>16</v>
          </cell>
          <cell r="I449" t="e">
            <v>#N/A</v>
          </cell>
        </row>
        <row r="450">
          <cell r="A450">
            <v>30681</v>
          </cell>
          <cell r="B450" t="e">
            <v>#N/A</v>
          </cell>
          <cell r="C450">
            <v>69.900000000000006</v>
          </cell>
          <cell r="D450" t="e">
            <v>#N/A</v>
          </cell>
          <cell r="E450">
            <v>2</v>
          </cell>
          <cell r="F450">
            <v>51.01</v>
          </cell>
          <cell r="G450" t="e">
            <v>#N/A</v>
          </cell>
          <cell r="H450">
            <v>15.9</v>
          </cell>
          <cell r="I450" t="e">
            <v>#N/A</v>
          </cell>
        </row>
        <row r="451">
          <cell r="A451">
            <v>30650</v>
          </cell>
          <cell r="B451" t="e">
            <v>#N/A</v>
          </cell>
          <cell r="C451">
            <v>66</v>
          </cell>
          <cell r="D451" t="e">
            <v>#N/A</v>
          </cell>
          <cell r="E451">
            <v>2.8</v>
          </cell>
          <cell r="F451">
            <v>50.89</v>
          </cell>
          <cell r="G451" t="e">
            <v>#N/A</v>
          </cell>
          <cell r="H451">
            <v>15.8</v>
          </cell>
          <cell r="I451" t="e">
            <v>#N/A</v>
          </cell>
        </row>
        <row r="452">
          <cell r="A452">
            <v>30620</v>
          </cell>
          <cell r="B452" t="e">
            <v>#N/A</v>
          </cell>
          <cell r="C452">
            <v>64.400000000000006</v>
          </cell>
          <cell r="D452" t="e">
            <v>#N/A</v>
          </cell>
          <cell r="E452">
            <v>2.4</v>
          </cell>
          <cell r="F452">
            <v>50.89</v>
          </cell>
          <cell r="G452" t="e">
            <v>#N/A</v>
          </cell>
          <cell r="H452">
            <v>15.7</v>
          </cell>
          <cell r="I452" t="e">
            <v>#N/A</v>
          </cell>
        </row>
        <row r="453">
          <cell r="A453">
            <v>30589</v>
          </cell>
          <cell r="B453" t="e">
            <v>#N/A</v>
          </cell>
          <cell r="C453">
            <v>62.5</v>
          </cell>
          <cell r="D453" t="e">
            <v>#N/A</v>
          </cell>
          <cell r="E453">
            <v>2.2999999999999998</v>
          </cell>
          <cell r="F453">
            <v>51.05</v>
          </cell>
          <cell r="G453" t="e">
            <v>#N/A</v>
          </cell>
          <cell r="H453">
            <v>15.6</v>
          </cell>
          <cell r="I453" t="e">
            <v>#N/A</v>
          </cell>
        </row>
        <row r="454">
          <cell r="A454">
            <v>30559</v>
          </cell>
          <cell r="B454" t="e">
            <v>#N/A</v>
          </cell>
          <cell r="C454">
            <v>63.1</v>
          </cell>
          <cell r="D454" t="e">
            <v>#N/A</v>
          </cell>
          <cell r="E454">
            <v>2.6</v>
          </cell>
          <cell r="F454">
            <v>50.89</v>
          </cell>
          <cell r="G454" t="e">
            <v>#N/A</v>
          </cell>
          <cell r="H454">
            <v>15.5</v>
          </cell>
          <cell r="I454" t="e">
            <v>#N/A</v>
          </cell>
        </row>
        <row r="455">
          <cell r="A455">
            <v>30528</v>
          </cell>
          <cell r="B455" t="e">
            <v>#N/A</v>
          </cell>
          <cell r="C455">
            <v>63.6</v>
          </cell>
          <cell r="D455" t="e">
            <v>#N/A</v>
          </cell>
          <cell r="E455">
            <v>2.8</v>
          </cell>
          <cell r="F455">
            <v>50.8</v>
          </cell>
          <cell r="G455" t="e">
            <v>#N/A</v>
          </cell>
          <cell r="H455">
            <v>15.4</v>
          </cell>
          <cell r="I455" t="e">
            <v>#N/A</v>
          </cell>
        </row>
        <row r="456">
          <cell r="A456">
            <v>30497</v>
          </cell>
          <cell r="B456" t="e">
            <v>#N/A</v>
          </cell>
          <cell r="C456">
            <v>57.5</v>
          </cell>
          <cell r="D456" t="e">
            <v>#N/A</v>
          </cell>
          <cell r="E456">
            <v>3.1</v>
          </cell>
          <cell r="F456">
            <v>50.89</v>
          </cell>
          <cell r="G456" t="e">
            <v>#N/A</v>
          </cell>
          <cell r="H456">
            <v>15.3</v>
          </cell>
          <cell r="I456" t="e">
            <v>#N/A</v>
          </cell>
        </row>
        <row r="457">
          <cell r="A457">
            <v>30467</v>
          </cell>
          <cell r="B457" t="e">
            <v>#N/A</v>
          </cell>
          <cell r="C457">
            <v>56.1</v>
          </cell>
          <cell r="D457" t="e">
            <v>#N/A</v>
          </cell>
          <cell r="E457">
            <v>3.8</v>
          </cell>
          <cell r="F457">
            <v>51.05</v>
          </cell>
          <cell r="G457" t="e">
            <v>#N/A</v>
          </cell>
          <cell r="H457">
            <v>15.1</v>
          </cell>
          <cell r="I457" t="e">
            <v>#N/A</v>
          </cell>
        </row>
        <row r="458">
          <cell r="A458">
            <v>30436</v>
          </cell>
          <cell r="B458" t="e">
            <v>#N/A</v>
          </cell>
          <cell r="C458">
            <v>54.2</v>
          </cell>
          <cell r="D458" t="e">
            <v>#N/A</v>
          </cell>
          <cell r="E458">
            <v>4.3</v>
          </cell>
          <cell r="F458">
            <v>51.32</v>
          </cell>
          <cell r="G458" t="e">
            <v>#N/A</v>
          </cell>
          <cell r="H458">
            <v>14.9</v>
          </cell>
          <cell r="I458" t="e">
            <v>#N/A</v>
          </cell>
        </row>
        <row r="459">
          <cell r="A459">
            <v>30406</v>
          </cell>
          <cell r="B459" t="e">
            <v>#N/A</v>
          </cell>
          <cell r="C459">
            <v>53.9</v>
          </cell>
          <cell r="D459" t="e">
            <v>#N/A</v>
          </cell>
          <cell r="E459">
            <v>4.7</v>
          </cell>
          <cell r="F459">
            <v>51.37</v>
          </cell>
          <cell r="G459" t="e">
            <v>#N/A</v>
          </cell>
          <cell r="H459">
            <v>14.9</v>
          </cell>
          <cell r="I459" t="e">
            <v>#N/A</v>
          </cell>
        </row>
        <row r="460">
          <cell r="A460">
            <v>30375</v>
          </cell>
          <cell r="B460" t="e">
            <v>#N/A</v>
          </cell>
          <cell r="C460">
            <v>54.4</v>
          </cell>
          <cell r="D460" t="e">
            <v>#N/A</v>
          </cell>
          <cell r="E460">
            <v>5.3</v>
          </cell>
          <cell r="F460">
            <v>51.53</v>
          </cell>
          <cell r="G460" t="e">
            <v>#N/A</v>
          </cell>
          <cell r="H460">
            <v>14.8</v>
          </cell>
          <cell r="I460" t="e">
            <v>#N/A</v>
          </cell>
        </row>
        <row r="461">
          <cell r="A461">
            <v>30347</v>
          </cell>
          <cell r="B461" t="e">
            <v>#N/A</v>
          </cell>
          <cell r="C461">
            <v>46</v>
          </cell>
          <cell r="D461" t="e">
            <v>#N/A</v>
          </cell>
          <cell r="E461">
            <v>5.0999999999999996</v>
          </cell>
          <cell r="F461">
            <v>51.62</v>
          </cell>
          <cell r="G461" t="e">
            <v>#N/A</v>
          </cell>
          <cell r="H461">
            <v>14.6</v>
          </cell>
          <cell r="I461" t="e">
            <v>#N/A</v>
          </cell>
        </row>
        <row r="462">
          <cell r="A462">
            <v>30316</v>
          </cell>
          <cell r="B462" t="e">
            <v>#N/A</v>
          </cell>
          <cell r="C462">
            <v>42.8</v>
          </cell>
          <cell r="D462" t="e">
            <v>#N/A</v>
          </cell>
          <cell r="E462">
            <v>4.8</v>
          </cell>
          <cell r="F462">
            <v>51.41</v>
          </cell>
          <cell r="G462" t="e">
            <v>#N/A</v>
          </cell>
          <cell r="H462">
            <v>14.4</v>
          </cell>
          <cell r="I462" t="e">
            <v>#N/A</v>
          </cell>
        </row>
        <row r="463">
          <cell r="A463">
            <v>30285</v>
          </cell>
          <cell r="B463" t="e">
            <v>#N/A</v>
          </cell>
          <cell r="C463">
            <v>39.200000000000003</v>
          </cell>
          <cell r="D463" t="e">
            <v>#N/A</v>
          </cell>
          <cell r="E463">
            <v>4.2</v>
          </cell>
          <cell r="F463">
            <v>51.2</v>
          </cell>
          <cell r="G463" t="e">
            <v>#N/A</v>
          </cell>
          <cell r="H463">
            <v>14.3</v>
          </cell>
          <cell r="I463" t="e">
            <v>#N/A</v>
          </cell>
        </row>
        <row r="464">
          <cell r="A464">
            <v>30255</v>
          </cell>
          <cell r="B464" t="e">
            <v>#N/A</v>
          </cell>
          <cell r="C464">
            <v>39.4</v>
          </cell>
          <cell r="D464" t="e">
            <v>#N/A</v>
          </cell>
          <cell r="E464">
            <v>3.9</v>
          </cell>
          <cell r="F464">
            <v>51.2</v>
          </cell>
          <cell r="G464" t="e">
            <v>#N/A</v>
          </cell>
          <cell r="H464">
            <v>14.2</v>
          </cell>
          <cell r="I464" t="e">
            <v>#N/A</v>
          </cell>
        </row>
        <row r="465">
          <cell r="A465">
            <v>30224</v>
          </cell>
          <cell r="B465" t="e">
            <v>#N/A</v>
          </cell>
          <cell r="C465">
            <v>38.799999999999997</v>
          </cell>
          <cell r="D465" t="e">
            <v>#N/A</v>
          </cell>
          <cell r="E465">
            <v>3.9</v>
          </cell>
          <cell r="F465">
            <v>51.24</v>
          </cell>
          <cell r="G465" t="e">
            <v>#N/A</v>
          </cell>
          <cell r="H465">
            <v>14.1</v>
          </cell>
          <cell r="I465" t="e">
            <v>#N/A</v>
          </cell>
        </row>
        <row r="466">
          <cell r="A466">
            <v>30194</v>
          </cell>
          <cell r="B466" t="e">
            <v>#N/A</v>
          </cell>
          <cell r="C466">
            <v>38.299999999999997</v>
          </cell>
          <cell r="D466" t="e">
            <v>#N/A</v>
          </cell>
          <cell r="E466">
            <v>4.8</v>
          </cell>
          <cell r="F466">
            <v>51.05</v>
          </cell>
          <cell r="G466" t="e">
            <v>#N/A</v>
          </cell>
          <cell r="H466">
            <v>13.9</v>
          </cell>
          <cell r="I466" t="e">
            <v>#N/A</v>
          </cell>
        </row>
        <row r="467">
          <cell r="A467">
            <v>30163</v>
          </cell>
          <cell r="B467" t="e">
            <v>#N/A</v>
          </cell>
          <cell r="C467">
            <v>38.4</v>
          </cell>
          <cell r="D467" t="e">
            <v>#N/A</v>
          </cell>
          <cell r="E467">
            <v>5.6</v>
          </cell>
          <cell r="F467">
            <v>51.14</v>
          </cell>
          <cell r="G467" t="e">
            <v>#N/A</v>
          </cell>
          <cell r="H467">
            <v>13.8</v>
          </cell>
          <cell r="I467" t="e">
            <v>#N/A</v>
          </cell>
        </row>
        <row r="468">
          <cell r="A468">
            <v>30132</v>
          </cell>
          <cell r="B468" t="e">
            <v>#N/A</v>
          </cell>
          <cell r="C468">
            <v>38.299999999999997</v>
          </cell>
          <cell r="D468" t="e">
            <v>#N/A</v>
          </cell>
          <cell r="E468">
            <v>6.4</v>
          </cell>
          <cell r="F468">
            <v>50.93</v>
          </cell>
          <cell r="G468" t="e">
            <v>#N/A</v>
          </cell>
          <cell r="H468">
            <v>13.6</v>
          </cell>
          <cell r="I468" t="e">
            <v>#N/A</v>
          </cell>
        </row>
        <row r="469">
          <cell r="A469">
            <v>30102</v>
          </cell>
          <cell r="B469" t="e">
            <v>#N/A</v>
          </cell>
          <cell r="C469">
            <v>35.5</v>
          </cell>
          <cell r="D469" t="e">
            <v>#N/A</v>
          </cell>
          <cell r="E469">
            <v>8.6</v>
          </cell>
          <cell r="F469">
            <v>50.97</v>
          </cell>
          <cell r="G469" t="e">
            <v>#N/A</v>
          </cell>
          <cell r="H469">
            <v>13.6</v>
          </cell>
          <cell r="I469" t="e">
            <v>#N/A</v>
          </cell>
        </row>
        <row r="470">
          <cell r="A470">
            <v>30071</v>
          </cell>
          <cell r="B470" t="e">
            <v>#N/A</v>
          </cell>
          <cell r="C470">
            <v>37.799999999999997</v>
          </cell>
          <cell r="D470" t="e">
            <v>#N/A</v>
          </cell>
          <cell r="E470">
            <v>10.199999999999999</v>
          </cell>
          <cell r="F470">
            <v>50.84</v>
          </cell>
          <cell r="G470" t="e">
            <v>#N/A</v>
          </cell>
          <cell r="H470">
            <v>13.5</v>
          </cell>
          <cell r="I470" t="e">
            <v>#N/A</v>
          </cell>
        </row>
        <row r="471">
          <cell r="A471">
            <v>30041</v>
          </cell>
          <cell r="B471" t="e">
            <v>#N/A</v>
          </cell>
          <cell r="C471">
            <v>36.799999999999997</v>
          </cell>
          <cell r="D471" t="e">
            <v>#N/A</v>
          </cell>
          <cell r="E471">
            <v>11</v>
          </cell>
          <cell r="F471">
            <v>50.8</v>
          </cell>
          <cell r="G471" t="e">
            <v>#N/A</v>
          </cell>
          <cell r="H471">
            <v>13.4</v>
          </cell>
          <cell r="I471" t="e">
            <v>#N/A</v>
          </cell>
        </row>
        <row r="472">
          <cell r="A472">
            <v>30010</v>
          </cell>
          <cell r="B472" t="e">
            <v>#N/A</v>
          </cell>
          <cell r="C472">
            <v>38.299999999999997</v>
          </cell>
          <cell r="D472" t="e">
            <v>#N/A</v>
          </cell>
          <cell r="E472">
            <v>12</v>
          </cell>
          <cell r="F472">
            <v>50.93</v>
          </cell>
          <cell r="G472" t="e">
            <v>#N/A</v>
          </cell>
          <cell r="H472">
            <v>13.3</v>
          </cell>
          <cell r="I472" t="e">
            <v>#N/A</v>
          </cell>
        </row>
        <row r="473">
          <cell r="A473">
            <v>29982</v>
          </cell>
          <cell r="B473" t="e">
            <v>#N/A</v>
          </cell>
          <cell r="C473">
            <v>38.200000000000003</v>
          </cell>
          <cell r="D473" t="e">
            <v>#N/A</v>
          </cell>
          <cell r="E473">
            <v>12.4</v>
          </cell>
          <cell r="F473">
            <v>50.56</v>
          </cell>
          <cell r="G473" t="e">
            <v>#N/A</v>
          </cell>
          <cell r="H473">
            <v>13.2</v>
          </cell>
          <cell r="I473" t="e">
            <v>#N/A</v>
          </cell>
        </row>
        <row r="474">
          <cell r="A474">
            <v>29951</v>
          </cell>
          <cell r="B474" t="e">
            <v>#N/A</v>
          </cell>
          <cell r="C474">
            <v>37.799999999999997</v>
          </cell>
          <cell r="D474" t="e">
            <v>#N/A</v>
          </cell>
          <cell r="E474">
            <v>13.7</v>
          </cell>
          <cell r="F474">
            <v>50.23</v>
          </cell>
          <cell r="G474" t="e">
            <v>#N/A</v>
          </cell>
          <cell r="H474">
            <v>13.2</v>
          </cell>
          <cell r="I474" t="e">
            <v>#N/A</v>
          </cell>
        </row>
        <row r="475">
          <cell r="A475">
            <v>29920</v>
          </cell>
          <cell r="B475" t="e">
            <v>#N/A</v>
          </cell>
          <cell r="C475">
            <v>36.1</v>
          </cell>
          <cell r="D475" t="e">
            <v>#N/A</v>
          </cell>
          <cell r="E475">
            <v>16.600000000000001</v>
          </cell>
          <cell r="F475">
            <v>49.67</v>
          </cell>
          <cell r="G475" t="e">
            <v>#N/A</v>
          </cell>
          <cell r="H475">
            <v>13.1</v>
          </cell>
          <cell r="I475" t="e">
            <v>#N/A</v>
          </cell>
        </row>
        <row r="476">
          <cell r="A476">
            <v>29890</v>
          </cell>
          <cell r="B476" t="e">
            <v>#N/A</v>
          </cell>
          <cell r="C476">
            <v>40</v>
          </cell>
          <cell r="D476" t="e">
            <v>#N/A</v>
          </cell>
          <cell r="E476">
            <v>18.3</v>
          </cell>
          <cell r="F476">
            <v>50.23</v>
          </cell>
          <cell r="G476" t="e">
            <v>#N/A</v>
          </cell>
          <cell r="H476">
            <v>13.1</v>
          </cell>
          <cell r="I476" t="e">
            <v>#N/A</v>
          </cell>
        </row>
        <row r="477">
          <cell r="A477">
            <v>29859</v>
          </cell>
          <cell r="B477" t="e">
            <v>#N/A</v>
          </cell>
          <cell r="C477">
            <v>42.5</v>
          </cell>
          <cell r="D477" t="e">
            <v>#N/A</v>
          </cell>
          <cell r="E477">
            <v>21.9</v>
          </cell>
          <cell r="F477">
            <v>50.27</v>
          </cell>
          <cell r="G477" t="e">
            <v>#N/A</v>
          </cell>
          <cell r="H477">
            <v>13</v>
          </cell>
          <cell r="I477" t="e">
            <v>#N/A</v>
          </cell>
        </row>
        <row r="478">
          <cell r="A478">
            <v>29829</v>
          </cell>
          <cell r="B478" t="e">
            <v>#N/A</v>
          </cell>
          <cell r="C478">
            <v>48.3</v>
          </cell>
          <cell r="D478" t="e">
            <v>#N/A</v>
          </cell>
          <cell r="E478">
            <v>22.6</v>
          </cell>
          <cell r="F478">
            <v>50</v>
          </cell>
          <cell r="G478" t="e">
            <v>#N/A</v>
          </cell>
          <cell r="H478">
            <v>12.9</v>
          </cell>
          <cell r="I478" t="e">
            <v>#N/A</v>
          </cell>
        </row>
        <row r="479">
          <cell r="A479">
            <v>29798</v>
          </cell>
          <cell r="B479" t="e">
            <v>#N/A</v>
          </cell>
          <cell r="C479">
            <v>46.7</v>
          </cell>
          <cell r="D479" t="e">
            <v>#N/A</v>
          </cell>
          <cell r="E479">
            <v>23.4</v>
          </cell>
          <cell r="F479">
            <v>49.71</v>
          </cell>
          <cell r="G479" t="e">
            <v>#N/A</v>
          </cell>
          <cell r="H479">
            <v>12.8</v>
          </cell>
          <cell r="I479" t="e">
            <v>#N/A</v>
          </cell>
        </row>
        <row r="480">
          <cell r="A480">
            <v>29767</v>
          </cell>
          <cell r="B480" t="e">
            <v>#N/A</v>
          </cell>
          <cell r="C480">
            <v>50.7</v>
          </cell>
          <cell r="D480" t="e">
            <v>#N/A</v>
          </cell>
          <cell r="E480">
            <v>23.2</v>
          </cell>
          <cell r="F480">
            <v>49.59</v>
          </cell>
          <cell r="G480" t="e">
            <v>#N/A</v>
          </cell>
          <cell r="H480">
            <v>12.7</v>
          </cell>
          <cell r="I480" t="e">
            <v>#N/A</v>
          </cell>
        </row>
        <row r="481">
          <cell r="A481">
            <v>29737</v>
          </cell>
          <cell r="B481" t="e">
            <v>#N/A</v>
          </cell>
          <cell r="C481">
            <v>53.5</v>
          </cell>
          <cell r="D481" t="e">
            <v>#N/A</v>
          </cell>
          <cell r="E481">
            <v>21.3</v>
          </cell>
          <cell r="F481">
            <v>49.1</v>
          </cell>
          <cell r="G481" t="e">
            <v>#N/A</v>
          </cell>
          <cell r="H481">
            <v>12.6</v>
          </cell>
          <cell r="I481" t="e">
            <v>#N/A</v>
          </cell>
        </row>
        <row r="482">
          <cell r="A482">
            <v>29706</v>
          </cell>
          <cell r="B482" t="e">
            <v>#N/A</v>
          </cell>
          <cell r="C482">
            <v>51.6</v>
          </cell>
          <cell r="D482" t="e">
            <v>#N/A</v>
          </cell>
          <cell r="E482">
            <v>22.4</v>
          </cell>
          <cell r="F482">
            <v>47.73</v>
          </cell>
          <cell r="G482" t="e">
            <v>#N/A</v>
          </cell>
          <cell r="H482">
            <v>12.4</v>
          </cell>
          <cell r="I482" t="e">
            <v>#N/A</v>
          </cell>
        </row>
        <row r="483">
          <cell r="A483">
            <v>29676</v>
          </cell>
          <cell r="B483" t="e">
            <v>#N/A</v>
          </cell>
          <cell r="C483">
            <v>49.6</v>
          </cell>
          <cell r="D483" t="e">
            <v>#N/A</v>
          </cell>
          <cell r="E483">
            <v>22.3</v>
          </cell>
          <cell r="F483">
            <v>46.55</v>
          </cell>
          <cell r="G483" t="e">
            <v>#N/A</v>
          </cell>
          <cell r="H483">
            <v>12.3</v>
          </cell>
          <cell r="I483" t="e">
            <v>#N/A</v>
          </cell>
        </row>
        <row r="484">
          <cell r="A484">
            <v>29645</v>
          </cell>
          <cell r="B484" t="e">
            <v>#N/A</v>
          </cell>
          <cell r="C484">
            <v>48.8</v>
          </cell>
          <cell r="D484" t="e">
            <v>#N/A</v>
          </cell>
          <cell r="E484">
            <v>24.4</v>
          </cell>
          <cell r="F484">
            <v>46.1</v>
          </cell>
          <cell r="G484" t="e">
            <v>#N/A</v>
          </cell>
          <cell r="H484">
            <v>12.2</v>
          </cell>
          <cell r="I484" t="e">
            <v>#N/A</v>
          </cell>
        </row>
        <row r="485">
          <cell r="A485">
            <v>29617</v>
          </cell>
          <cell r="B485" t="e">
            <v>#N/A</v>
          </cell>
          <cell r="C485">
            <v>49.2</v>
          </cell>
          <cell r="D485" t="e">
            <v>#N/A</v>
          </cell>
          <cell r="E485">
            <v>28.8</v>
          </cell>
          <cell r="F485">
            <v>45.75</v>
          </cell>
          <cell r="G485" t="e">
            <v>#N/A</v>
          </cell>
          <cell r="H485">
            <v>12.1</v>
          </cell>
          <cell r="I485" t="e">
            <v>#N/A</v>
          </cell>
        </row>
        <row r="486">
          <cell r="A486">
            <v>29586</v>
          </cell>
          <cell r="B486" t="e">
            <v>#N/A</v>
          </cell>
          <cell r="C486">
            <v>53</v>
          </cell>
          <cell r="D486" t="e">
            <v>#N/A</v>
          </cell>
          <cell r="E486">
            <v>32.200000000000003</v>
          </cell>
          <cell r="F486">
            <v>45.09</v>
          </cell>
          <cell r="G486" t="e">
            <v>#N/A</v>
          </cell>
          <cell r="H486">
            <v>11.9</v>
          </cell>
          <cell r="I486" t="e">
            <v>#N/A</v>
          </cell>
        </row>
        <row r="487">
          <cell r="A487">
            <v>29555</v>
          </cell>
          <cell r="B487" t="e">
            <v>#N/A</v>
          </cell>
          <cell r="C487">
            <v>58.2</v>
          </cell>
          <cell r="D487" t="e">
            <v>#N/A</v>
          </cell>
          <cell r="E487">
            <v>31.3</v>
          </cell>
          <cell r="F487">
            <v>43.43</v>
          </cell>
          <cell r="G487" t="e">
            <v>#N/A</v>
          </cell>
          <cell r="H487">
            <v>11.8</v>
          </cell>
          <cell r="I487" t="e">
            <v>#N/A</v>
          </cell>
        </row>
        <row r="488">
          <cell r="A488">
            <v>29525</v>
          </cell>
          <cell r="B488" t="e">
            <v>#N/A</v>
          </cell>
          <cell r="C488">
            <v>55.5</v>
          </cell>
          <cell r="D488" t="e">
            <v>#N/A</v>
          </cell>
          <cell r="E488">
            <v>32.5</v>
          </cell>
          <cell r="F488">
            <v>42.79</v>
          </cell>
          <cell r="G488" t="e">
            <v>#N/A</v>
          </cell>
          <cell r="H488">
            <v>11.7</v>
          </cell>
          <cell r="I488" t="e">
            <v>#N/A</v>
          </cell>
        </row>
        <row r="489">
          <cell r="A489">
            <v>29494</v>
          </cell>
          <cell r="B489" t="e">
            <v>#N/A</v>
          </cell>
          <cell r="C489">
            <v>50.1</v>
          </cell>
          <cell r="D489" t="e">
            <v>#N/A</v>
          </cell>
          <cell r="E489">
            <v>29.8</v>
          </cell>
          <cell r="F489">
            <v>42.22</v>
          </cell>
          <cell r="G489" t="e">
            <v>#N/A</v>
          </cell>
          <cell r="H489">
            <v>11.6</v>
          </cell>
          <cell r="I489" t="e">
            <v>#N/A</v>
          </cell>
        </row>
        <row r="490">
          <cell r="A490">
            <v>29464</v>
          </cell>
          <cell r="B490" t="e">
            <v>#N/A</v>
          </cell>
          <cell r="C490">
            <v>45.5</v>
          </cell>
          <cell r="D490" t="e">
            <v>#N/A</v>
          </cell>
          <cell r="E490">
            <v>29.2</v>
          </cell>
          <cell r="F490">
            <v>41.54</v>
          </cell>
          <cell r="G490" t="e">
            <v>#N/A</v>
          </cell>
          <cell r="H490">
            <v>11.5</v>
          </cell>
          <cell r="I490" t="e">
            <v>#N/A</v>
          </cell>
        </row>
        <row r="491">
          <cell r="A491">
            <v>29433</v>
          </cell>
          <cell r="B491" t="e">
            <v>#N/A</v>
          </cell>
          <cell r="C491">
            <v>35</v>
          </cell>
          <cell r="D491" t="e">
            <v>#N/A</v>
          </cell>
          <cell r="E491">
            <v>27.5</v>
          </cell>
          <cell r="F491">
            <v>40.64</v>
          </cell>
          <cell r="G491" t="e">
            <v>#N/A</v>
          </cell>
          <cell r="H491">
            <v>11.4</v>
          </cell>
          <cell r="I491" t="e">
            <v>#N/A</v>
          </cell>
        </row>
        <row r="492">
          <cell r="A492">
            <v>29402</v>
          </cell>
          <cell r="B492" t="e">
            <v>#N/A</v>
          </cell>
          <cell r="C492">
            <v>30.3</v>
          </cell>
          <cell r="D492" t="e">
            <v>#N/A</v>
          </cell>
          <cell r="E492">
            <v>27</v>
          </cell>
          <cell r="F492">
            <v>40.36</v>
          </cell>
          <cell r="G492" t="e">
            <v>#N/A</v>
          </cell>
          <cell r="H492">
            <v>11.3</v>
          </cell>
          <cell r="I492" t="e">
            <v>#N/A</v>
          </cell>
        </row>
        <row r="493">
          <cell r="A493">
            <v>29372</v>
          </cell>
          <cell r="B493" t="e">
            <v>#N/A</v>
          </cell>
          <cell r="C493">
            <v>29.4</v>
          </cell>
          <cell r="D493" t="e">
            <v>#N/A</v>
          </cell>
          <cell r="E493">
            <v>26.6</v>
          </cell>
          <cell r="F493">
            <v>40.32</v>
          </cell>
          <cell r="G493" t="e">
            <v>#N/A</v>
          </cell>
          <cell r="H493">
            <v>11.2</v>
          </cell>
          <cell r="I493" t="e">
            <v>#N/A</v>
          </cell>
        </row>
        <row r="494">
          <cell r="A494">
            <v>29341</v>
          </cell>
          <cell r="B494" t="e">
            <v>#N/A</v>
          </cell>
          <cell r="C494">
            <v>37.4</v>
          </cell>
          <cell r="D494" t="e">
            <v>#N/A</v>
          </cell>
          <cell r="E494">
            <v>26.6</v>
          </cell>
          <cell r="F494">
            <v>39.590000000000003</v>
          </cell>
          <cell r="G494" t="e">
            <v>#N/A</v>
          </cell>
          <cell r="H494">
            <v>11.1</v>
          </cell>
          <cell r="I494" t="e">
            <v>#N/A</v>
          </cell>
        </row>
        <row r="495">
          <cell r="A495">
            <v>29311</v>
          </cell>
          <cell r="B495" t="e">
            <v>#N/A</v>
          </cell>
          <cell r="C495">
            <v>43.6</v>
          </cell>
          <cell r="D495" t="e">
            <v>#N/A</v>
          </cell>
          <cell r="E495">
            <v>28.8</v>
          </cell>
          <cell r="F495">
            <v>39.07</v>
          </cell>
          <cell r="G495" t="e">
            <v>#N/A</v>
          </cell>
          <cell r="H495">
            <v>11</v>
          </cell>
          <cell r="I495" t="e">
            <v>#N/A</v>
          </cell>
        </row>
        <row r="496">
          <cell r="A496">
            <v>29280</v>
          </cell>
          <cell r="B496" t="e">
            <v>#N/A</v>
          </cell>
          <cell r="C496">
            <v>50.2</v>
          </cell>
          <cell r="D496" t="e">
            <v>#N/A</v>
          </cell>
          <cell r="E496">
            <v>26.4</v>
          </cell>
          <cell r="F496">
            <v>37.68</v>
          </cell>
          <cell r="G496" t="e">
            <v>#N/A</v>
          </cell>
          <cell r="H496">
            <v>10.9</v>
          </cell>
          <cell r="I496" t="e">
            <v>#N/A</v>
          </cell>
        </row>
        <row r="497">
          <cell r="A497">
            <v>29251</v>
          </cell>
          <cell r="B497" t="e">
            <v>#N/A</v>
          </cell>
          <cell r="C497">
            <v>46.2</v>
          </cell>
          <cell r="D497" t="e">
            <v>#N/A</v>
          </cell>
          <cell r="E497">
            <v>25.4</v>
          </cell>
          <cell r="F497">
            <v>33.11</v>
          </cell>
          <cell r="G497" t="e">
            <v>#N/A</v>
          </cell>
          <cell r="H497">
            <v>10.7</v>
          </cell>
          <cell r="I497" t="e">
            <v>#N/A</v>
          </cell>
        </row>
        <row r="498">
          <cell r="A498">
            <v>29220</v>
          </cell>
          <cell r="B498" t="e">
            <v>#N/A</v>
          </cell>
          <cell r="C498">
            <v>44.8</v>
          </cell>
          <cell r="D498" t="e">
            <v>#N/A</v>
          </cell>
          <cell r="E498">
            <v>21.2</v>
          </cell>
          <cell r="F498">
            <v>31.71</v>
          </cell>
          <cell r="G498" t="e">
            <v>#N/A</v>
          </cell>
          <cell r="H498">
            <v>10.7</v>
          </cell>
          <cell r="I498" t="e">
            <v>#N/A</v>
          </cell>
        </row>
        <row r="499">
          <cell r="A499">
            <v>29189</v>
          </cell>
          <cell r="B499" t="e">
            <v>#N/A</v>
          </cell>
          <cell r="C499">
            <v>48</v>
          </cell>
          <cell r="D499" t="e">
            <v>#N/A</v>
          </cell>
          <cell r="E499">
            <v>18.8</v>
          </cell>
          <cell r="F499">
            <v>31.4</v>
          </cell>
          <cell r="G499" t="e">
            <v>#N/A</v>
          </cell>
          <cell r="H499">
            <v>10.6</v>
          </cell>
          <cell r="I499" t="e">
            <v>#N/A</v>
          </cell>
        </row>
        <row r="500">
          <cell r="A500">
            <v>29159</v>
          </cell>
          <cell r="B500" t="e">
            <v>#N/A</v>
          </cell>
          <cell r="C500">
            <v>49</v>
          </cell>
          <cell r="D500" t="e">
            <v>#N/A</v>
          </cell>
          <cell r="E500">
            <v>17.600000000000001</v>
          </cell>
          <cell r="F500">
            <v>31.46</v>
          </cell>
          <cell r="G500" t="e">
            <v>#N/A</v>
          </cell>
          <cell r="H500">
            <v>10.6</v>
          </cell>
          <cell r="I500" t="e">
            <v>#N/A</v>
          </cell>
        </row>
        <row r="501">
          <cell r="A501">
            <v>29128</v>
          </cell>
          <cell r="B501" t="e">
            <v>#N/A</v>
          </cell>
          <cell r="C501">
            <v>49.6</v>
          </cell>
          <cell r="D501" t="e">
            <v>#N/A</v>
          </cell>
          <cell r="E501">
            <v>17.899999999999999</v>
          </cell>
          <cell r="F501">
            <v>31.24</v>
          </cell>
          <cell r="G501" t="e">
            <v>#N/A</v>
          </cell>
          <cell r="H501">
            <v>10.6</v>
          </cell>
          <cell r="I501" t="e">
            <v>#N/A</v>
          </cell>
        </row>
        <row r="502">
          <cell r="A502">
            <v>29098</v>
          </cell>
          <cell r="B502" t="e">
            <v>#N/A</v>
          </cell>
          <cell r="C502">
            <v>49.5</v>
          </cell>
          <cell r="D502" t="e">
            <v>#N/A</v>
          </cell>
          <cell r="E502">
            <v>18.600000000000001</v>
          </cell>
          <cell r="F502">
            <v>30.83</v>
          </cell>
          <cell r="G502" t="e">
            <v>#N/A</v>
          </cell>
          <cell r="H502">
            <v>10.5</v>
          </cell>
          <cell r="I502" t="e">
            <v>#N/A</v>
          </cell>
        </row>
        <row r="503">
          <cell r="A503">
            <v>29067</v>
          </cell>
          <cell r="B503" t="e">
            <v>#N/A</v>
          </cell>
          <cell r="C503">
            <v>51.3</v>
          </cell>
          <cell r="D503" t="e">
            <v>#N/A</v>
          </cell>
          <cell r="E503">
            <v>18.5</v>
          </cell>
          <cell r="F503">
            <v>29.91</v>
          </cell>
          <cell r="G503" t="e">
            <v>#N/A</v>
          </cell>
          <cell r="H503">
            <v>10.5</v>
          </cell>
          <cell r="I503" t="e">
            <v>#N/A</v>
          </cell>
        </row>
        <row r="504">
          <cell r="A504">
            <v>29036</v>
          </cell>
          <cell r="B504" t="e">
            <v>#N/A</v>
          </cell>
          <cell r="C504">
            <v>52.7</v>
          </cell>
          <cell r="D504" t="e">
            <v>#N/A</v>
          </cell>
          <cell r="E504">
            <v>19.600000000000001</v>
          </cell>
          <cell r="F504">
            <v>28.46</v>
          </cell>
          <cell r="G504" t="e">
            <v>#N/A</v>
          </cell>
          <cell r="H504">
            <v>10.5</v>
          </cell>
          <cell r="I504" t="e">
            <v>#N/A</v>
          </cell>
        </row>
        <row r="505">
          <cell r="A505">
            <v>29006</v>
          </cell>
          <cell r="B505" t="e">
            <v>#N/A</v>
          </cell>
          <cell r="C505">
            <v>54.4</v>
          </cell>
          <cell r="D505" t="e">
            <v>#N/A</v>
          </cell>
          <cell r="E505">
            <v>21.8</v>
          </cell>
          <cell r="F505">
            <v>28.29</v>
          </cell>
          <cell r="G505" t="e">
            <v>#N/A</v>
          </cell>
          <cell r="H505">
            <v>10.5</v>
          </cell>
          <cell r="I505" t="e">
            <v>#N/A</v>
          </cell>
        </row>
        <row r="506">
          <cell r="A506">
            <v>28975</v>
          </cell>
          <cell r="B506" t="e">
            <v>#N/A</v>
          </cell>
          <cell r="C506">
            <v>56.2</v>
          </cell>
          <cell r="D506" t="e">
            <v>#N/A</v>
          </cell>
          <cell r="E506">
            <v>19.3</v>
          </cell>
          <cell r="F506">
            <v>27.52</v>
          </cell>
          <cell r="G506" t="e">
            <v>#N/A</v>
          </cell>
          <cell r="H506">
            <v>10.6</v>
          </cell>
          <cell r="I506" t="e">
            <v>#N/A</v>
          </cell>
        </row>
        <row r="507">
          <cell r="A507">
            <v>28945</v>
          </cell>
          <cell r="B507" t="e">
            <v>#N/A</v>
          </cell>
          <cell r="C507">
            <v>57.7</v>
          </cell>
          <cell r="D507" t="e">
            <v>#N/A</v>
          </cell>
          <cell r="E507">
            <v>16.3</v>
          </cell>
          <cell r="F507">
            <v>26.79</v>
          </cell>
          <cell r="G507" t="e">
            <v>#N/A</v>
          </cell>
          <cell r="H507">
            <v>10.7</v>
          </cell>
          <cell r="I507" t="e">
            <v>#N/A</v>
          </cell>
        </row>
        <row r="508">
          <cell r="A508">
            <v>28914</v>
          </cell>
          <cell r="B508" t="e">
            <v>#N/A</v>
          </cell>
          <cell r="C508">
            <v>58.2</v>
          </cell>
          <cell r="D508" t="e">
            <v>#N/A</v>
          </cell>
          <cell r="E508">
            <v>15.7</v>
          </cell>
          <cell r="F508">
            <v>26.17</v>
          </cell>
          <cell r="G508" t="e">
            <v>#N/A</v>
          </cell>
          <cell r="H508">
            <v>10.7</v>
          </cell>
          <cell r="I508" t="e">
            <v>#N/A</v>
          </cell>
        </row>
        <row r="509">
          <cell r="A509">
            <v>28886</v>
          </cell>
          <cell r="B509" t="e">
            <v>#N/A</v>
          </cell>
          <cell r="C509">
            <v>58.5</v>
          </cell>
          <cell r="D509" t="e">
            <v>#N/A</v>
          </cell>
          <cell r="E509">
            <v>14.1</v>
          </cell>
          <cell r="F509">
            <v>25.78</v>
          </cell>
          <cell r="G509" t="e">
            <v>#N/A</v>
          </cell>
          <cell r="H509">
            <v>10.7</v>
          </cell>
          <cell r="I509" t="e">
            <v>#N/A</v>
          </cell>
        </row>
        <row r="510">
          <cell r="A510">
            <v>28855</v>
          </cell>
          <cell r="B510" t="e">
            <v>#N/A</v>
          </cell>
          <cell r="C510">
            <v>59.4</v>
          </cell>
          <cell r="D510" t="e">
            <v>#N/A</v>
          </cell>
          <cell r="E510">
            <v>16.399999999999999</v>
          </cell>
          <cell r="F510">
            <v>25.62</v>
          </cell>
          <cell r="G510" t="e">
            <v>#N/A</v>
          </cell>
          <cell r="H510">
            <v>10.6</v>
          </cell>
          <cell r="I510" t="e">
            <v>#N/A</v>
          </cell>
        </row>
        <row r="511">
          <cell r="A511">
            <v>28824</v>
          </cell>
          <cell r="B511" t="e">
            <v>#N/A</v>
          </cell>
          <cell r="C511">
            <v>61.3</v>
          </cell>
          <cell r="D511" t="e">
            <v>#N/A</v>
          </cell>
          <cell r="E511">
            <v>17</v>
          </cell>
          <cell r="F511">
            <v>25.55</v>
          </cell>
          <cell r="G511" t="e">
            <v>#N/A</v>
          </cell>
          <cell r="H511">
            <v>10.5</v>
          </cell>
          <cell r="I511" t="e">
            <v>#N/A</v>
          </cell>
        </row>
        <row r="512">
          <cell r="A512">
            <v>28794</v>
          </cell>
          <cell r="B512" t="e">
            <v>#N/A</v>
          </cell>
          <cell r="C512">
            <v>60.1</v>
          </cell>
          <cell r="D512" t="e">
            <v>#N/A</v>
          </cell>
          <cell r="E512">
            <v>16.8</v>
          </cell>
          <cell r="F512">
            <v>25.38</v>
          </cell>
          <cell r="G512" t="e">
            <v>#N/A</v>
          </cell>
          <cell r="H512">
            <v>10.5</v>
          </cell>
          <cell r="I512" t="e">
            <v>#N/A</v>
          </cell>
        </row>
        <row r="513">
          <cell r="A513">
            <v>28763</v>
          </cell>
          <cell r="B513" t="e">
            <v>#N/A</v>
          </cell>
          <cell r="C513">
            <v>60.5</v>
          </cell>
          <cell r="D513" t="e">
            <v>#N/A</v>
          </cell>
          <cell r="E513">
            <v>15.5</v>
          </cell>
          <cell r="F513">
            <v>25.11</v>
          </cell>
          <cell r="G513" t="e">
            <v>#N/A</v>
          </cell>
          <cell r="H513">
            <v>10.4</v>
          </cell>
          <cell r="I513" t="e">
            <v>#N/A</v>
          </cell>
        </row>
        <row r="514">
          <cell r="A514">
            <v>28733</v>
          </cell>
          <cell r="B514" t="e">
            <v>#N/A</v>
          </cell>
          <cell r="C514">
            <v>60.3</v>
          </cell>
          <cell r="D514" t="e">
            <v>#N/A</v>
          </cell>
          <cell r="E514">
            <v>13.5</v>
          </cell>
          <cell r="F514">
            <v>24.63</v>
          </cell>
          <cell r="G514" t="e">
            <v>#N/A</v>
          </cell>
          <cell r="H514">
            <v>10.3</v>
          </cell>
          <cell r="I514" t="e">
            <v>#N/A</v>
          </cell>
        </row>
        <row r="515">
          <cell r="A515">
            <v>28702</v>
          </cell>
          <cell r="B515" t="e">
            <v>#N/A</v>
          </cell>
          <cell r="C515">
            <v>62.2</v>
          </cell>
          <cell r="D515" t="e">
            <v>#N/A</v>
          </cell>
          <cell r="E515">
            <v>14.8</v>
          </cell>
          <cell r="F515">
            <v>24.61</v>
          </cell>
          <cell r="G515" t="e">
            <v>#N/A</v>
          </cell>
          <cell r="H515">
            <v>10.3</v>
          </cell>
          <cell r="I515" t="e">
            <v>#N/A</v>
          </cell>
        </row>
        <row r="516">
          <cell r="A516">
            <v>28671</v>
          </cell>
          <cell r="B516" t="e">
            <v>#N/A</v>
          </cell>
          <cell r="C516">
            <v>60.5</v>
          </cell>
          <cell r="D516" t="e">
            <v>#N/A</v>
          </cell>
          <cell r="E516">
            <v>14.6</v>
          </cell>
          <cell r="F516">
            <v>24.5</v>
          </cell>
          <cell r="G516" t="e">
            <v>#N/A</v>
          </cell>
          <cell r="H516">
            <v>10.199999999999999</v>
          </cell>
          <cell r="I516" t="e">
            <v>#N/A</v>
          </cell>
        </row>
        <row r="517">
          <cell r="A517">
            <v>28641</v>
          </cell>
          <cell r="B517" t="e">
            <v>#N/A</v>
          </cell>
          <cell r="C517">
            <v>60.2</v>
          </cell>
          <cell r="D517" t="e">
            <v>#N/A</v>
          </cell>
          <cell r="E517">
            <v>12.6</v>
          </cell>
          <cell r="F517">
            <v>24.18</v>
          </cell>
          <cell r="G517" t="e">
            <v>#N/A</v>
          </cell>
          <cell r="H517">
            <v>10.199999999999999</v>
          </cell>
          <cell r="I517" t="e">
            <v>#N/A</v>
          </cell>
        </row>
        <row r="518">
          <cell r="A518">
            <v>28610</v>
          </cell>
          <cell r="B518" t="e">
            <v>#N/A</v>
          </cell>
          <cell r="C518">
            <v>57.7</v>
          </cell>
          <cell r="D518" t="e">
            <v>#N/A</v>
          </cell>
          <cell r="E518">
            <v>12.6</v>
          </cell>
          <cell r="F518">
            <v>23.98</v>
          </cell>
          <cell r="G518" t="e">
            <v>#N/A</v>
          </cell>
          <cell r="H518">
            <v>10.199999999999999</v>
          </cell>
          <cell r="I518" t="e">
            <v>#N/A</v>
          </cell>
        </row>
        <row r="519">
          <cell r="A519">
            <v>28580</v>
          </cell>
          <cell r="B519" t="e">
            <v>#N/A</v>
          </cell>
          <cell r="C519">
            <v>55</v>
          </cell>
          <cell r="D519" t="e">
            <v>#N/A</v>
          </cell>
          <cell r="E519">
            <v>12.9</v>
          </cell>
          <cell r="F519">
            <v>23.83</v>
          </cell>
          <cell r="G519" t="e">
            <v>#N/A</v>
          </cell>
          <cell r="H519">
            <v>10.1</v>
          </cell>
          <cell r="I519" t="e">
            <v>#N/A</v>
          </cell>
        </row>
        <row r="520">
          <cell r="A520">
            <v>28549</v>
          </cell>
          <cell r="B520" t="e">
            <v>#N/A</v>
          </cell>
          <cell r="C520">
            <v>55.9</v>
          </cell>
          <cell r="D520" t="e">
            <v>#N/A</v>
          </cell>
          <cell r="E520">
            <v>13</v>
          </cell>
          <cell r="F520">
            <v>23.76</v>
          </cell>
          <cell r="G520" t="e">
            <v>#N/A</v>
          </cell>
          <cell r="H520">
            <v>10</v>
          </cell>
          <cell r="I520" t="e">
            <v>#N/A</v>
          </cell>
        </row>
        <row r="521">
          <cell r="A521">
            <v>28521</v>
          </cell>
          <cell r="B521" t="e">
            <v>#N/A</v>
          </cell>
          <cell r="C521">
            <v>57.4</v>
          </cell>
          <cell r="D521" t="e">
            <v>#N/A</v>
          </cell>
          <cell r="E521">
            <v>13.3</v>
          </cell>
          <cell r="F521">
            <v>23.35</v>
          </cell>
          <cell r="G521" t="e">
            <v>#N/A</v>
          </cell>
          <cell r="H521">
            <v>9.8000000000000007</v>
          </cell>
          <cell r="I521" t="e">
            <v>#N/A</v>
          </cell>
        </row>
        <row r="522">
          <cell r="A522">
            <v>28490</v>
          </cell>
          <cell r="B522" t="e">
            <v>#N/A</v>
          </cell>
          <cell r="C522">
            <v>59.8</v>
          </cell>
          <cell r="D522" t="e">
            <v>#N/A</v>
          </cell>
          <cell r="E522">
            <v>11</v>
          </cell>
          <cell r="F522">
            <v>22.83</v>
          </cell>
          <cell r="G522" t="e">
            <v>#N/A</v>
          </cell>
          <cell r="H522">
            <v>9.6999999999999993</v>
          </cell>
          <cell r="I522" t="e">
            <v>#N/A</v>
          </cell>
        </row>
        <row r="523">
          <cell r="A523">
            <v>28459</v>
          </cell>
          <cell r="B523" t="e">
            <v>#N/A</v>
          </cell>
          <cell r="C523">
            <v>56.1</v>
          </cell>
          <cell r="D523" t="e">
            <v>#N/A</v>
          </cell>
          <cell r="E523">
            <v>10.6</v>
          </cell>
          <cell r="F523">
            <v>22.53</v>
          </cell>
          <cell r="G523" t="e">
            <v>#N/A</v>
          </cell>
          <cell r="H523">
            <v>9.6</v>
          </cell>
          <cell r="I523" t="e">
            <v>#N/A</v>
          </cell>
        </row>
        <row r="524">
          <cell r="A524">
            <v>28429</v>
          </cell>
          <cell r="B524" t="e">
            <v>#N/A</v>
          </cell>
          <cell r="C524">
            <v>55.4</v>
          </cell>
          <cell r="D524" t="e">
            <v>#N/A</v>
          </cell>
          <cell r="E524">
            <v>10.1</v>
          </cell>
          <cell r="F524">
            <v>22.44</v>
          </cell>
          <cell r="G524" t="e">
            <v>#N/A</v>
          </cell>
          <cell r="H524">
            <v>9.5</v>
          </cell>
          <cell r="I524" t="e">
            <v>#N/A</v>
          </cell>
        </row>
        <row r="525">
          <cell r="A525">
            <v>28398</v>
          </cell>
          <cell r="B525" t="e">
            <v>#N/A</v>
          </cell>
          <cell r="C525">
            <v>53.9</v>
          </cell>
          <cell r="D525" t="e">
            <v>#N/A</v>
          </cell>
          <cell r="E525">
            <v>9.1999999999999993</v>
          </cell>
          <cell r="F525">
            <v>22.36</v>
          </cell>
          <cell r="G525" t="e">
            <v>#N/A</v>
          </cell>
          <cell r="H525">
            <v>9.5</v>
          </cell>
          <cell r="I525" t="e">
            <v>#N/A</v>
          </cell>
        </row>
        <row r="526">
          <cell r="A526">
            <v>28368</v>
          </cell>
          <cell r="B526" t="e">
            <v>#N/A</v>
          </cell>
          <cell r="C526">
            <v>54.9</v>
          </cell>
          <cell r="D526" t="e">
            <v>#N/A</v>
          </cell>
          <cell r="E526">
            <v>9.6999999999999993</v>
          </cell>
          <cell r="F526">
            <v>22.2</v>
          </cell>
          <cell r="G526" t="e">
            <v>#N/A</v>
          </cell>
          <cell r="H526">
            <v>9.4</v>
          </cell>
          <cell r="I526" t="e">
            <v>#N/A</v>
          </cell>
        </row>
        <row r="527">
          <cell r="A527">
            <v>28337</v>
          </cell>
          <cell r="B527" t="e">
            <v>#N/A</v>
          </cell>
          <cell r="C527">
            <v>57.7</v>
          </cell>
          <cell r="D527" t="e">
            <v>#N/A</v>
          </cell>
          <cell r="E527">
            <v>9.4</v>
          </cell>
          <cell r="F527">
            <v>22.04</v>
          </cell>
          <cell r="G527" t="e">
            <v>#N/A</v>
          </cell>
          <cell r="H527">
            <v>9.3000000000000007</v>
          </cell>
          <cell r="I527" t="e">
            <v>#N/A</v>
          </cell>
        </row>
        <row r="528">
          <cell r="A528">
            <v>28306</v>
          </cell>
          <cell r="B528" t="e">
            <v>#N/A</v>
          </cell>
          <cell r="C528">
            <v>56.8</v>
          </cell>
          <cell r="D528" t="e">
            <v>#N/A</v>
          </cell>
          <cell r="E528">
            <v>10.1</v>
          </cell>
          <cell r="F528">
            <v>21.93</v>
          </cell>
          <cell r="G528" t="e">
            <v>#N/A</v>
          </cell>
          <cell r="H528">
            <v>9.1999999999999993</v>
          </cell>
          <cell r="I528" t="e">
            <v>#N/A</v>
          </cell>
        </row>
        <row r="529">
          <cell r="A529">
            <v>28276</v>
          </cell>
          <cell r="B529" t="e">
            <v>#N/A</v>
          </cell>
          <cell r="C529">
            <v>59.7</v>
          </cell>
          <cell r="D529" t="e">
            <v>#N/A</v>
          </cell>
          <cell r="E529">
            <v>10.1</v>
          </cell>
          <cell r="F529">
            <v>21.75</v>
          </cell>
          <cell r="G529" t="e">
            <v>#N/A</v>
          </cell>
          <cell r="H529">
            <v>9</v>
          </cell>
          <cell r="I529" t="e">
            <v>#N/A</v>
          </cell>
        </row>
        <row r="530">
          <cell r="A530">
            <v>28245</v>
          </cell>
          <cell r="B530" t="e">
            <v>#N/A</v>
          </cell>
          <cell r="C530">
            <v>56.9</v>
          </cell>
          <cell r="D530" t="e">
            <v>#N/A</v>
          </cell>
          <cell r="E530">
            <v>9.6</v>
          </cell>
          <cell r="F530">
            <v>21.63</v>
          </cell>
          <cell r="G530" t="e">
            <v>#N/A</v>
          </cell>
          <cell r="H530">
            <v>9</v>
          </cell>
          <cell r="I530" t="e">
            <v>#N/A</v>
          </cell>
        </row>
        <row r="531">
          <cell r="A531">
            <v>28215</v>
          </cell>
          <cell r="B531" t="e">
            <v>#N/A</v>
          </cell>
          <cell r="C531">
            <v>58.4</v>
          </cell>
          <cell r="D531" t="e">
            <v>#N/A</v>
          </cell>
          <cell r="E531">
            <v>10.7</v>
          </cell>
          <cell r="F531">
            <v>21.54</v>
          </cell>
          <cell r="G531" t="e">
            <v>#N/A</v>
          </cell>
          <cell r="H531">
            <v>8.9</v>
          </cell>
          <cell r="I531" t="e">
            <v>#N/A</v>
          </cell>
        </row>
        <row r="532">
          <cell r="A532">
            <v>28184</v>
          </cell>
          <cell r="B532" t="e">
            <v>#N/A</v>
          </cell>
          <cell r="C532">
            <v>55</v>
          </cell>
          <cell r="D532" t="e">
            <v>#N/A</v>
          </cell>
          <cell r="E532">
            <v>11.1</v>
          </cell>
          <cell r="F532">
            <v>21.43</v>
          </cell>
          <cell r="G532" t="e">
            <v>#N/A</v>
          </cell>
          <cell r="H532">
            <v>8.9</v>
          </cell>
          <cell r="I532" t="e">
            <v>#N/A</v>
          </cell>
        </row>
        <row r="533">
          <cell r="A533">
            <v>28156</v>
          </cell>
          <cell r="B533" t="e">
            <v>#N/A</v>
          </cell>
          <cell r="C533">
            <v>54.8</v>
          </cell>
          <cell r="D533" t="e">
            <v>#N/A</v>
          </cell>
          <cell r="E533">
            <v>9.6999999999999993</v>
          </cell>
          <cell r="F533">
            <v>20.98</v>
          </cell>
          <cell r="G533" t="e">
            <v>#N/A</v>
          </cell>
          <cell r="H533">
            <v>8.8000000000000007</v>
          </cell>
          <cell r="I533" t="e">
            <v>#N/A</v>
          </cell>
        </row>
        <row r="534">
          <cell r="A534">
            <v>28125</v>
          </cell>
          <cell r="B534" t="e">
            <v>#N/A</v>
          </cell>
          <cell r="C534">
            <v>56.6</v>
          </cell>
          <cell r="D534" t="e">
            <v>#N/A</v>
          </cell>
          <cell r="E534">
            <v>9.6</v>
          </cell>
          <cell r="F534">
            <v>20.74</v>
          </cell>
          <cell r="G534" t="e">
            <v>#N/A</v>
          </cell>
          <cell r="H534">
            <v>8.8000000000000007</v>
          </cell>
          <cell r="I534" t="e">
            <v>#N/A</v>
          </cell>
        </row>
        <row r="535">
          <cell r="A535">
            <v>28094</v>
          </cell>
          <cell r="B535" t="e">
            <v>#N/A</v>
          </cell>
          <cell r="C535">
            <v>51.7</v>
          </cell>
          <cell r="D535" t="e">
            <v>#N/A</v>
          </cell>
          <cell r="E535">
            <v>9.5</v>
          </cell>
          <cell r="F535">
            <v>20.72</v>
          </cell>
          <cell r="G535" t="e">
            <v>#N/A</v>
          </cell>
          <cell r="H535">
            <v>8.6999999999999993</v>
          </cell>
          <cell r="I535" t="e">
            <v>#N/A</v>
          </cell>
        </row>
        <row r="536">
          <cell r="A536">
            <v>28064</v>
          </cell>
          <cell r="B536" t="e">
            <v>#N/A</v>
          </cell>
          <cell r="C536">
            <v>53.5</v>
          </cell>
          <cell r="D536" t="e">
            <v>#N/A</v>
          </cell>
          <cell r="E536">
            <v>8.6999999999999993</v>
          </cell>
          <cell r="F536">
            <v>20.53</v>
          </cell>
          <cell r="G536" t="e">
            <v>#N/A</v>
          </cell>
          <cell r="H536">
            <v>8.6</v>
          </cell>
          <cell r="I536" t="e">
            <v>#N/A</v>
          </cell>
        </row>
        <row r="537">
          <cell r="A537">
            <v>28033</v>
          </cell>
          <cell r="B537" t="e">
            <v>#N/A</v>
          </cell>
          <cell r="C537">
            <v>53.6</v>
          </cell>
          <cell r="D537" t="e">
            <v>#N/A</v>
          </cell>
          <cell r="E537">
            <v>11.5</v>
          </cell>
          <cell r="F537">
            <v>20.46</v>
          </cell>
          <cell r="G537" t="e">
            <v>#N/A</v>
          </cell>
          <cell r="H537">
            <v>8.6</v>
          </cell>
          <cell r="I537" t="e">
            <v>#N/A</v>
          </cell>
        </row>
        <row r="538">
          <cell r="A538">
            <v>28003</v>
          </cell>
          <cell r="B538" t="e">
            <v>#N/A</v>
          </cell>
          <cell r="C538">
            <v>54.5</v>
          </cell>
          <cell r="D538" t="e">
            <v>#N/A</v>
          </cell>
          <cell r="E538">
            <v>14.5</v>
          </cell>
          <cell r="F538">
            <v>20.329999999999998</v>
          </cell>
          <cell r="G538" t="e">
            <v>#N/A</v>
          </cell>
          <cell r="H538">
            <v>8.5</v>
          </cell>
          <cell r="I538" t="e">
            <v>#N/A</v>
          </cell>
        </row>
        <row r="539">
          <cell r="A539">
            <v>27972</v>
          </cell>
          <cell r="B539" t="e">
            <v>#N/A</v>
          </cell>
          <cell r="C539">
            <v>55.9</v>
          </cell>
          <cell r="D539" t="e">
            <v>#N/A</v>
          </cell>
          <cell r="E539">
            <v>15.8</v>
          </cell>
          <cell r="F539">
            <v>20.239999999999998</v>
          </cell>
          <cell r="G539" t="e">
            <v>#N/A</v>
          </cell>
          <cell r="H539">
            <v>8.5</v>
          </cell>
          <cell r="I539" t="e">
            <v>#N/A</v>
          </cell>
        </row>
        <row r="540">
          <cell r="A540">
            <v>27941</v>
          </cell>
          <cell r="B540" t="e">
            <v>#N/A</v>
          </cell>
          <cell r="C540">
            <v>58.2</v>
          </cell>
          <cell r="D540" t="e">
            <v>#N/A</v>
          </cell>
          <cell r="E540">
            <v>15.7</v>
          </cell>
          <cell r="F540">
            <v>20.12</v>
          </cell>
          <cell r="G540" t="e">
            <v>#N/A</v>
          </cell>
          <cell r="H540">
            <v>8.4</v>
          </cell>
          <cell r="I540" t="e">
            <v>#N/A</v>
          </cell>
        </row>
        <row r="541">
          <cell r="A541">
            <v>27911</v>
          </cell>
          <cell r="B541" t="e">
            <v>#N/A</v>
          </cell>
          <cell r="C541">
            <v>58.8</v>
          </cell>
          <cell r="D541" t="e">
            <v>#N/A</v>
          </cell>
          <cell r="E541">
            <v>16.100000000000001</v>
          </cell>
          <cell r="F541">
            <v>20.010000000000002</v>
          </cell>
          <cell r="G541" t="e">
            <v>#N/A</v>
          </cell>
          <cell r="H541">
            <v>8.4</v>
          </cell>
          <cell r="I541" t="e">
            <v>#N/A</v>
          </cell>
        </row>
        <row r="542">
          <cell r="A542">
            <v>27880</v>
          </cell>
          <cell r="B542" t="e">
            <v>#N/A</v>
          </cell>
          <cell r="C542">
            <v>60.6</v>
          </cell>
          <cell r="D542" t="e">
            <v>#N/A</v>
          </cell>
          <cell r="E542">
            <v>19.5</v>
          </cell>
          <cell r="F542">
            <v>19.84</v>
          </cell>
          <cell r="G542" t="e">
            <v>#N/A</v>
          </cell>
          <cell r="H542">
            <v>8.3000000000000007</v>
          </cell>
          <cell r="I542" t="e">
            <v>#N/A</v>
          </cell>
        </row>
        <row r="543">
          <cell r="A543">
            <v>27850</v>
          </cell>
          <cell r="B543" t="e">
            <v>#N/A</v>
          </cell>
          <cell r="C543">
            <v>58.4</v>
          </cell>
          <cell r="D543" t="e">
            <v>#N/A</v>
          </cell>
          <cell r="E543">
            <v>22</v>
          </cell>
          <cell r="F543">
            <v>19.72</v>
          </cell>
          <cell r="G543" t="e">
            <v>#N/A</v>
          </cell>
          <cell r="H543">
            <v>8.1999999999999993</v>
          </cell>
          <cell r="I543" t="e">
            <v>#N/A</v>
          </cell>
        </row>
        <row r="544">
          <cell r="A544">
            <v>27819</v>
          </cell>
          <cell r="B544" t="e">
            <v>#N/A</v>
          </cell>
          <cell r="C544">
            <v>61.5</v>
          </cell>
          <cell r="D544" t="e">
            <v>#N/A</v>
          </cell>
          <cell r="E544">
            <v>22.2</v>
          </cell>
          <cell r="F544">
            <v>19.61</v>
          </cell>
          <cell r="G544" t="e">
            <v>#N/A</v>
          </cell>
          <cell r="H544">
            <v>8.1</v>
          </cell>
          <cell r="I544" t="e">
            <v>#N/A</v>
          </cell>
        </row>
        <row r="545">
          <cell r="A545">
            <v>27790</v>
          </cell>
          <cell r="B545" t="e">
            <v>#N/A</v>
          </cell>
          <cell r="C545">
            <v>58.8</v>
          </cell>
          <cell r="D545" t="e">
            <v>#N/A</v>
          </cell>
          <cell r="E545">
            <v>23</v>
          </cell>
          <cell r="F545">
            <v>19.510000000000002</v>
          </cell>
          <cell r="G545" t="e">
            <v>#N/A</v>
          </cell>
          <cell r="H545">
            <v>8</v>
          </cell>
          <cell r="I545" t="e">
            <v>#N/A</v>
          </cell>
        </row>
        <row r="546">
          <cell r="A546">
            <v>27759</v>
          </cell>
          <cell r="B546" t="e">
            <v>#N/A</v>
          </cell>
          <cell r="C546">
            <v>54.9</v>
          </cell>
          <cell r="D546" t="e">
            <v>#N/A</v>
          </cell>
          <cell r="E546">
            <v>26.5</v>
          </cell>
          <cell r="F546">
            <v>18.96</v>
          </cell>
          <cell r="G546" t="e">
            <v>#N/A</v>
          </cell>
          <cell r="H546">
            <v>7.8</v>
          </cell>
          <cell r="I546" t="e">
            <v>#N/A</v>
          </cell>
        </row>
        <row r="547">
          <cell r="A547">
            <v>27728</v>
          </cell>
          <cell r="B547" t="e">
            <v>#N/A</v>
          </cell>
          <cell r="C547">
            <v>54.5</v>
          </cell>
          <cell r="D547" t="e">
            <v>#N/A</v>
          </cell>
          <cell r="E547">
            <v>27.8</v>
          </cell>
          <cell r="F547">
            <v>18.670000000000002</v>
          </cell>
          <cell r="G547" t="e">
            <v>#N/A</v>
          </cell>
          <cell r="H547">
            <v>7.8</v>
          </cell>
          <cell r="I547" t="e">
            <v>#N/A</v>
          </cell>
        </row>
        <row r="548">
          <cell r="A548">
            <v>27698</v>
          </cell>
          <cell r="B548" t="e">
            <v>#N/A</v>
          </cell>
          <cell r="C548">
            <v>55.5</v>
          </cell>
          <cell r="D548" t="e">
            <v>#N/A</v>
          </cell>
          <cell r="E548">
            <v>30.5</v>
          </cell>
          <cell r="F548">
            <v>18.600000000000001</v>
          </cell>
          <cell r="G548" t="e">
            <v>#N/A</v>
          </cell>
          <cell r="H548">
            <v>7.7</v>
          </cell>
          <cell r="I548" t="e">
            <v>#N/A</v>
          </cell>
        </row>
        <row r="549">
          <cell r="A549">
            <v>27667</v>
          </cell>
          <cell r="B549" t="e">
            <v>#N/A</v>
          </cell>
          <cell r="C549">
            <v>54.4</v>
          </cell>
          <cell r="D549" t="e">
            <v>#N/A</v>
          </cell>
          <cell r="E549">
            <v>27.5</v>
          </cell>
          <cell r="F549">
            <v>18.38</v>
          </cell>
          <cell r="G549" t="e">
            <v>#N/A</v>
          </cell>
          <cell r="H549">
            <v>7.5</v>
          </cell>
          <cell r="I549" t="e">
            <v>#N/A</v>
          </cell>
        </row>
        <row r="550">
          <cell r="A550">
            <v>27637</v>
          </cell>
          <cell r="B550" t="e">
            <v>#N/A</v>
          </cell>
          <cell r="C550">
            <v>51.4</v>
          </cell>
          <cell r="D550" t="e">
            <v>#N/A</v>
          </cell>
          <cell r="E550">
            <v>25.3</v>
          </cell>
          <cell r="F550">
            <v>18.28</v>
          </cell>
          <cell r="G550" t="e">
            <v>#N/A</v>
          </cell>
          <cell r="H550">
            <v>7.5</v>
          </cell>
          <cell r="I550" t="e">
            <v>#N/A</v>
          </cell>
        </row>
        <row r="551">
          <cell r="A551">
            <v>27606</v>
          </cell>
          <cell r="B551" t="e">
            <v>#N/A</v>
          </cell>
          <cell r="C551">
            <v>47.2</v>
          </cell>
          <cell r="D551" t="e">
            <v>#N/A</v>
          </cell>
          <cell r="E551">
            <v>26.5</v>
          </cell>
          <cell r="F551">
            <v>18.21</v>
          </cell>
          <cell r="G551" t="e">
            <v>#N/A</v>
          </cell>
          <cell r="H551">
            <v>7.4</v>
          </cell>
          <cell r="I551" t="e">
            <v>#N/A</v>
          </cell>
        </row>
        <row r="552">
          <cell r="A552">
            <v>27575</v>
          </cell>
          <cell r="B552" t="e">
            <v>#N/A</v>
          </cell>
          <cell r="C552">
            <v>45.1</v>
          </cell>
          <cell r="D552" t="e">
            <v>#N/A</v>
          </cell>
          <cell r="E552">
            <v>26.9</v>
          </cell>
          <cell r="F552">
            <v>18.14</v>
          </cell>
          <cell r="G552" t="e">
            <v>#N/A</v>
          </cell>
          <cell r="H552">
            <v>7.3</v>
          </cell>
          <cell r="I552" t="e">
            <v>#N/A</v>
          </cell>
        </row>
        <row r="553">
          <cell r="A553">
            <v>27545</v>
          </cell>
          <cell r="B553" t="e">
            <v>#N/A</v>
          </cell>
          <cell r="C553">
            <v>41.2</v>
          </cell>
          <cell r="D553" t="e">
            <v>#N/A</v>
          </cell>
          <cell r="E553">
            <v>24.3</v>
          </cell>
          <cell r="F553">
            <v>17.96</v>
          </cell>
          <cell r="G553" t="e">
            <v>#N/A</v>
          </cell>
          <cell r="H553">
            <v>7.2</v>
          </cell>
          <cell r="I553" t="e">
            <v>#N/A</v>
          </cell>
        </row>
        <row r="554">
          <cell r="A554">
            <v>27514</v>
          </cell>
          <cell r="B554" t="e">
            <v>#N/A</v>
          </cell>
          <cell r="C554">
            <v>37.5</v>
          </cell>
          <cell r="D554" t="e">
            <v>#N/A</v>
          </cell>
          <cell r="E554">
            <v>20.6</v>
          </cell>
          <cell r="F554">
            <v>17.559999999999999</v>
          </cell>
          <cell r="G554" t="e">
            <v>#N/A</v>
          </cell>
          <cell r="H554">
            <v>7</v>
          </cell>
          <cell r="I554" t="e">
            <v>#N/A</v>
          </cell>
        </row>
        <row r="555">
          <cell r="A555">
            <v>27484</v>
          </cell>
          <cell r="B555" t="e">
            <v>#N/A</v>
          </cell>
          <cell r="C555">
            <v>31.6</v>
          </cell>
          <cell r="D555" t="e">
            <v>#N/A</v>
          </cell>
          <cell r="E555">
            <v>19.100000000000001</v>
          </cell>
          <cell r="F555">
            <v>17.100000000000001</v>
          </cell>
          <cell r="G555" t="e">
            <v>#N/A</v>
          </cell>
          <cell r="H555">
            <v>6.9</v>
          </cell>
          <cell r="I555" t="e">
            <v>#N/A</v>
          </cell>
        </row>
        <row r="556">
          <cell r="A556">
            <v>27453</v>
          </cell>
          <cell r="B556" t="e">
            <v>#N/A</v>
          </cell>
          <cell r="C556">
            <v>34.4</v>
          </cell>
          <cell r="D556" t="e">
            <v>#N/A</v>
          </cell>
          <cell r="E556">
            <v>21.3</v>
          </cell>
          <cell r="F556">
            <v>17.02</v>
          </cell>
          <cell r="G556" t="e">
            <v>#N/A</v>
          </cell>
          <cell r="H556">
            <v>6.8</v>
          </cell>
          <cell r="I556" t="e">
            <v>#N/A</v>
          </cell>
        </row>
        <row r="557">
          <cell r="A557">
            <v>27425</v>
          </cell>
          <cell r="B557" t="e">
            <v>#N/A</v>
          </cell>
          <cell r="C557">
            <v>30.7</v>
          </cell>
          <cell r="D557" t="e">
            <v>#N/A</v>
          </cell>
          <cell r="E557">
            <v>25.4</v>
          </cell>
          <cell r="F557">
            <v>16.809999999999999</v>
          </cell>
          <cell r="G557" t="e">
            <v>#N/A</v>
          </cell>
          <cell r="H557">
            <v>6.7</v>
          </cell>
          <cell r="I557" t="e">
            <v>#N/A</v>
          </cell>
        </row>
        <row r="558">
          <cell r="A558">
            <v>27394</v>
          </cell>
          <cell r="B558" t="e">
            <v>#N/A</v>
          </cell>
          <cell r="C558">
            <v>30.9</v>
          </cell>
          <cell r="D558" t="e">
            <v>#N/A</v>
          </cell>
          <cell r="E558">
            <v>26.4</v>
          </cell>
          <cell r="F558">
            <v>15.86</v>
          </cell>
          <cell r="G558" t="e">
            <v>#N/A</v>
          </cell>
          <cell r="H558">
            <v>6.7</v>
          </cell>
          <cell r="I558" t="e">
            <v>#N/A</v>
          </cell>
        </row>
        <row r="559">
          <cell r="A559">
            <v>27363</v>
          </cell>
          <cell r="B559" t="e">
            <v>#N/A</v>
          </cell>
          <cell r="C559">
            <v>37.9</v>
          </cell>
          <cell r="D559" t="e">
            <v>#N/A</v>
          </cell>
          <cell r="E559">
            <v>28</v>
          </cell>
          <cell r="F559">
            <v>15.02</v>
          </cell>
          <cell r="G559" t="e">
            <v>#N/A</v>
          </cell>
          <cell r="H559">
            <v>6.6</v>
          </cell>
          <cell r="I559" t="e">
            <v>#N/A</v>
          </cell>
        </row>
        <row r="560">
          <cell r="A560">
            <v>27333</v>
          </cell>
          <cell r="B560" t="e">
            <v>#N/A</v>
          </cell>
          <cell r="C560">
            <v>42.7</v>
          </cell>
          <cell r="D560" t="e">
            <v>#N/A</v>
          </cell>
          <cell r="E560">
            <v>27.8</v>
          </cell>
          <cell r="F560">
            <v>14.69</v>
          </cell>
          <cell r="G560" t="e">
            <v>#N/A</v>
          </cell>
          <cell r="H560">
            <v>6.5</v>
          </cell>
          <cell r="I560" t="e">
            <v>#N/A</v>
          </cell>
        </row>
        <row r="561">
          <cell r="A561">
            <v>27302</v>
          </cell>
          <cell r="B561" t="e">
            <v>#N/A</v>
          </cell>
          <cell r="C561">
            <v>46.2</v>
          </cell>
          <cell r="D561" t="e">
            <v>#N/A</v>
          </cell>
          <cell r="E561">
            <v>29.2</v>
          </cell>
          <cell r="F561">
            <v>14.64</v>
          </cell>
          <cell r="G561" t="e">
            <v>#N/A</v>
          </cell>
          <cell r="H561">
            <v>6.5</v>
          </cell>
          <cell r="I561" t="e">
            <v>#N/A</v>
          </cell>
        </row>
        <row r="562">
          <cell r="A562">
            <v>27272</v>
          </cell>
          <cell r="B562" t="e">
            <v>#N/A</v>
          </cell>
          <cell r="C562">
            <v>52.9</v>
          </cell>
          <cell r="D562" t="e">
            <v>#N/A</v>
          </cell>
          <cell r="E562">
            <v>28.2</v>
          </cell>
          <cell r="F562">
            <v>14.69</v>
          </cell>
          <cell r="G562" t="e">
            <v>#N/A</v>
          </cell>
          <cell r="H562">
            <v>6.5</v>
          </cell>
          <cell r="I562" t="e">
            <v>#N/A</v>
          </cell>
        </row>
        <row r="563">
          <cell r="A563">
            <v>27241</v>
          </cell>
          <cell r="B563" t="e">
            <v>#N/A</v>
          </cell>
          <cell r="C563">
            <v>54.8</v>
          </cell>
          <cell r="D563" t="e">
            <v>#N/A</v>
          </cell>
          <cell r="E563">
            <v>25.5</v>
          </cell>
          <cell r="F563">
            <v>14.56</v>
          </cell>
          <cell r="G563" t="e">
            <v>#N/A</v>
          </cell>
          <cell r="H563">
            <v>6.5</v>
          </cell>
          <cell r="I563" t="e">
            <v>#N/A</v>
          </cell>
        </row>
        <row r="564">
          <cell r="A564">
            <v>27210</v>
          </cell>
          <cell r="B564" t="e">
            <v>#N/A</v>
          </cell>
          <cell r="C564">
            <v>54.7</v>
          </cell>
          <cell r="D564" t="e">
            <v>#N/A</v>
          </cell>
          <cell r="E564">
            <v>23.5</v>
          </cell>
          <cell r="F564">
            <v>14.4</v>
          </cell>
          <cell r="G564" t="e">
            <v>#N/A</v>
          </cell>
          <cell r="H564">
            <v>6.5</v>
          </cell>
          <cell r="I564" t="e">
            <v>#N/A</v>
          </cell>
        </row>
        <row r="565">
          <cell r="A565">
            <v>27180</v>
          </cell>
          <cell r="B565" t="e">
            <v>#N/A</v>
          </cell>
          <cell r="C565">
            <v>55.7</v>
          </cell>
          <cell r="D565" t="e">
            <v>#N/A</v>
          </cell>
          <cell r="E565">
            <v>24.1</v>
          </cell>
          <cell r="F565">
            <v>14.24</v>
          </cell>
          <cell r="G565" t="e">
            <v>#N/A</v>
          </cell>
          <cell r="H565">
            <v>6.5</v>
          </cell>
          <cell r="I565" t="e">
            <v>#N/A</v>
          </cell>
        </row>
        <row r="566">
          <cell r="A566">
            <v>27149</v>
          </cell>
          <cell r="B566" t="e">
            <v>#N/A</v>
          </cell>
          <cell r="C566">
            <v>59.9</v>
          </cell>
          <cell r="D566" t="e">
            <v>#N/A</v>
          </cell>
          <cell r="E566">
            <v>24.2</v>
          </cell>
          <cell r="F566">
            <v>14.15</v>
          </cell>
          <cell r="G566" t="e">
            <v>#N/A</v>
          </cell>
          <cell r="H566">
            <v>6.5</v>
          </cell>
          <cell r="I566" t="e">
            <v>#N/A</v>
          </cell>
        </row>
        <row r="567">
          <cell r="A567">
            <v>27119</v>
          </cell>
          <cell r="B567" t="e">
            <v>#N/A</v>
          </cell>
          <cell r="C567">
            <v>61.8</v>
          </cell>
          <cell r="D567" t="e">
            <v>#N/A</v>
          </cell>
          <cell r="E567">
            <v>22.6</v>
          </cell>
          <cell r="F567">
            <v>13.58</v>
          </cell>
          <cell r="G567" t="e">
            <v>#N/A</v>
          </cell>
          <cell r="H567">
            <v>6.6</v>
          </cell>
          <cell r="I567" t="e">
            <v>#N/A</v>
          </cell>
        </row>
        <row r="568">
          <cell r="A568">
            <v>27088</v>
          </cell>
          <cell r="B568" t="e">
            <v>#N/A</v>
          </cell>
          <cell r="C568">
            <v>58.6</v>
          </cell>
          <cell r="D568" t="e">
            <v>#N/A</v>
          </cell>
          <cell r="E568">
            <v>18.399999999999999</v>
          </cell>
          <cell r="F568">
            <v>13.18</v>
          </cell>
          <cell r="G568" t="e">
            <v>#N/A</v>
          </cell>
          <cell r="H568">
            <v>6.7</v>
          </cell>
          <cell r="I568" t="e">
            <v>#N/A</v>
          </cell>
        </row>
        <row r="569">
          <cell r="A569">
            <v>27060</v>
          </cell>
          <cell r="B569" t="e">
            <v>#N/A</v>
          </cell>
          <cell r="C569">
            <v>62.1</v>
          </cell>
          <cell r="D569" t="e">
            <v>#N/A</v>
          </cell>
          <cell r="E569">
            <v>12.8</v>
          </cell>
          <cell r="F569">
            <v>11.51</v>
          </cell>
          <cell r="G569" t="e">
            <v>#N/A</v>
          </cell>
          <cell r="H569">
            <v>6.7</v>
          </cell>
          <cell r="I569" t="e">
            <v>#N/A</v>
          </cell>
        </row>
        <row r="570">
          <cell r="A570">
            <v>27029</v>
          </cell>
          <cell r="B570" t="e">
            <v>#N/A</v>
          </cell>
          <cell r="C570">
            <v>63.6</v>
          </cell>
          <cell r="D570" t="e">
            <v>#N/A</v>
          </cell>
          <cell r="E570">
            <v>8.5</v>
          </cell>
          <cell r="F570">
            <v>10.97</v>
          </cell>
          <cell r="G570" t="e">
            <v>#N/A</v>
          </cell>
          <cell r="H570">
            <v>6.7</v>
          </cell>
          <cell r="I570" t="e">
            <v>#N/A</v>
          </cell>
        </row>
        <row r="571">
          <cell r="A571">
            <v>26998</v>
          </cell>
          <cell r="B571" t="e">
            <v>#N/A</v>
          </cell>
          <cell r="C571">
            <v>68.099999999999994</v>
          </cell>
          <cell r="D571" t="e">
            <v>#N/A</v>
          </cell>
          <cell r="E571">
            <v>5.6</v>
          </cell>
          <cell r="F571">
            <v>10.4</v>
          </cell>
          <cell r="G571" t="e">
            <v>#N/A</v>
          </cell>
          <cell r="H571">
            <v>6.7</v>
          </cell>
          <cell r="I571" t="e">
            <v>#N/A</v>
          </cell>
        </row>
        <row r="572">
          <cell r="A572">
            <v>26968</v>
          </cell>
          <cell r="B572" t="e">
            <v>#N/A</v>
          </cell>
          <cell r="C572">
            <v>66.2</v>
          </cell>
          <cell r="D572" t="e">
            <v>#N/A</v>
          </cell>
          <cell r="E572">
            <v>2.4</v>
          </cell>
          <cell r="F572">
            <v>10.27</v>
          </cell>
          <cell r="G572" t="e">
            <v>#N/A</v>
          </cell>
          <cell r="H572">
            <v>6.7</v>
          </cell>
          <cell r="I572" t="e">
            <v>#N/A</v>
          </cell>
        </row>
        <row r="573">
          <cell r="A573">
            <v>26937</v>
          </cell>
          <cell r="B573" t="e">
            <v>#N/A</v>
          </cell>
          <cell r="C573">
            <v>63.5</v>
          </cell>
          <cell r="D573" t="e">
            <v>#N/A</v>
          </cell>
          <cell r="E573">
            <v>1.1000000000000001</v>
          </cell>
          <cell r="F573">
            <v>10.25</v>
          </cell>
          <cell r="G573" t="e">
            <v>#N/A</v>
          </cell>
          <cell r="H573">
            <v>6.7</v>
          </cell>
          <cell r="I573" t="e">
            <v>#N/A</v>
          </cell>
        </row>
        <row r="574">
          <cell r="A574">
            <v>26907</v>
          </cell>
          <cell r="B574" t="e">
            <v>#N/A</v>
          </cell>
          <cell r="C574">
            <v>62.7</v>
          </cell>
          <cell r="D574" t="e">
            <v>#N/A</v>
          </cell>
          <cell r="E574">
            <v>0.3</v>
          </cell>
          <cell r="F574">
            <v>10.09</v>
          </cell>
          <cell r="G574" t="e">
            <v>#N/A</v>
          </cell>
          <cell r="H574">
            <v>6.7</v>
          </cell>
          <cell r="I574" t="e">
            <v>#N/A</v>
          </cell>
        </row>
        <row r="575">
          <cell r="A575">
            <v>26876</v>
          </cell>
          <cell r="B575" t="e">
            <v>#N/A</v>
          </cell>
          <cell r="C575">
            <v>57.8</v>
          </cell>
          <cell r="D575" t="e">
            <v>#N/A</v>
          </cell>
          <cell r="E575">
            <v>0.9</v>
          </cell>
          <cell r="F575">
            <v>9.8800000000000008</v>
          </cell>
          <cell r="G575" t="e">
            <v>#N/A</v>
          </cell>
          <cell r="H575">
            <v>6.6</v>
          </cell>
          <cell r="I575" t="e">
            <v>#N/A</v>
          </cell>
        </row>
        <row r="576">
          <cell r="A576">
            <v>26845</v>
          </cell>
          <cell r="B576" t="e">
            <v>#N/A</v>
          </cell>
          <cell r="C576">
            <v>65</v>
          </cell>
          <cell r="D576" t="e">
            <v>#N/A</v>
          </cell>
          <cell r="E576">
            <v>1.4</v>
          </cell>
          <cell r="F576">
            <v>9.8000000000000007</v>
          </cell>
          <cell r="G576" t="e">
            <v>#N/A</v>
          </cell>
          <cell r="H576">
            <v>6.5</v>
          </cell>
          <cell r="I576" t="e">
            <v>#N/A</v>
          </cell>
        </row>
        <row r="577">
          <cell r="A577">
            <v>26815</v>
          </cell>
          <cell r="B577" t="e">
            <v>#N/A</v>
          </cell>
          <cell r="C577">
            <v>64.8</v>
          </cell>
          <cell r="D577" t="e">
            <v>#N/A</v>
          </cell>
          <cell r="E577">
            <v>2.2000000000000002</v>
          </cell>
          <cell r="F577">
            <v>9.7799999999999994</v>
          </cell>
          <cell r="G577" t="e">
            <v>#N/A</v>
          </cell>
          <cell r="H577">
            <v>6.5</v>
          </cell>
          <cell r="I577" t="e">
            <v>#N/A</v>
          </cell>
        </row>
        <row r="578">
          <cell r="A578">
            <v>26784</v>
          </cell>
          <cell r="B578" t="e">
            <v>#N/A</v>
          </cell>
          <cell r="C578">
            <v>67.7</v>
          </cell>
          <cell r="D578" t="e">
            <v>#N/A</v>
          </cell>
          <cell r="E578">
            <v>2</v>
          </cell>
          <cell r="F578">
            <v>9.7100000000000009</v>
          </cell>
          <cell r="G578" t="e">
            <v>#N/A</v>
          </cell>
          <cell r="H578">
            <v>6.4</v>
          </cell>
          <cell r="I578" t="e">
            <v>#N/A</v>
          </cell>
        </row>
        <row r="579">
          <cell r="A579">
            <v>26754</v>
          </cell>
          <cell r="B579" t="e">
            <v>#N/A</v>
          </cell>
          <cell r="C579">
            <v>69.599999999999994</v>
          </cell>
          <cell r="D579" t="e">
            <v>#N/A</v>
          </cell>
          <cell r="E579">
            <v>2.1</v>
          </cell>
          <cell r="F579">
            <v>9.65</v>
          </cell>
          <cell r="G579" t="e">
            <v>#N/A</v>
          </cell>
          <cell r="H579">
            <v>6.3</v>
          </cell>
          <cell r="I579" t="e">
            <v>#N/A</v>
          </cell>
        </row>
        <row r="580">
          <cell r="A580">
            <v>26723</v>
          </cell>
          <cell r="B580" t="e">
            <v>#N/A</v>
          </cell>
          <cell r="C580">
            <v>69.599999999999994</v>
          </cell>
          <cell r="D580" t="e">
            <v>#N/A</v>
          </cell>
          <cell r="E580">
            <v>4.8</v>
          </cell>
          <cell r="F580">
            <v>9.6199999999999992</v>
          </cell>
          <cell r="G580" t="e">
            <v>#N/A</v>
          </cell>
          <cell r="H580">
            <v>6.2</v>
          </cell>
          <cell r="I580" t="e">
            <v>#N/A</v>
          </cell>
        </row>
        <row r="581">
          <cell r="A581">
            <v>26695</v>
          </cell>
          <cell r="B581" t="e">
            <v>#N/A</v>
          </cell>
          <cell r="C581">
            <v>72.099999999999994</v>
          </cell>
          <cell r="D581" t="e">
            <v>#N/A</v>
          </cell>
          <cell r="E581">
            <v>7.9</v>
          </cell>
          <cell r="F581">
            <v>9.58</v>
          </cell>
          <cell r="G581" t="e">
            <v>#N/A</v>
          </cell>
          <cell r="H581">
            <v>6</v>
          </cell>
          <cell r="I581" t="e">
            <v>#N/A</v>
          </cell>
        </row>
        <row r="582">
          <cell r="A582">
            <v>26664</v>
          </cell>
          <cell r="B582" t="e">
            <v>#N/A</v>
          </cell>
          <cell r="C582">
            <v>70.5</v>
          </cell>
          <cell r="D582" t="e">
            <v>#N/A</v>
          </cell>
          <cell r="E582">
            <v>9.1999999999999993</v>
          </cell>
          <cell r="F582">
            <v>9.5299999999999994</v>
          </cell>
          <cell r="G582" t="e">
            <v>#N/A</v>
          </cell>
          <cell r="H582">
            <v>5.9</v>
          </cell>
          <cell r="I582" t="e">
            <v>#N/A</v>
          </cell>
        </row>
        <row r="583">
          <cell r="A583">
            <v>26633</v>
          </cell>
          <cell r="B583" t="e">
            <v>#N/A</v>
          </cell>
          <cell r="C583">
            <v>69.900000000000006</v>
          </cell>
          <cell r="D583" t="e">
            <v>#N/A</v>
          </cell>
          <cell r="E583">
            <v>10.1</v>
          </cell>
          <cell r="F583">
            <v>9.4600000000000009</v>
          </cell>
          <cell r="G583" t="e">
            <v>#N/A</v>
          </cell>
          <cell r="H583">
            <v>5.8</v>
          </cell>
          <cell r="I583" t="e">
            <v>#N/A</v>
          </cell>
        </row>
        <row r="584">
          <cell r="A584">
            <v>26603</v>
          </cell>
          <cell r="B584" t="e">
            <v>#N/A</v>
          </cell>
          <cell r="C584">
            <v>67</v>
          </cell>
          <cell r="D584" t="e">
            <v>#N/A</v>
          </cell>
          <cell r="E584">
            <v>12.4</v>
          </cell>
          <cell r="F584">
            <v>9.4499999999999993</v>
          </cell>
          <cell r="G584" t="e">
            <v>#N/A</v>
          </cell>
          <cell r="H584">
            <v>5.6</v>
          </cell>
          <cell r="I584" t="e">
            <v>#N/A</v>
          </cell>
        </row>
        <row r="585">
          <cell r="A585">
            <v>26572</v>
          </cell>
          <cell r="B585" t="e">
            <v>#N/A</v>
          </cell>
          <cell r="C585">
            <v>65.099999999999994</v>
          </cell>
          <cell r="D585" t="e">
            <v>#N/A</v>
          </cell>
          <cell r="E585">
            <v>12.8</v>
          </cell>
          <cell r="F585">
            <v>9.49</v>
          </cell>
          <cell r="G585" t="e">
            <v>#N/A</v>
          </cell>
          <cell r="H585">
            <v>5.5</v>
          </cell>
          <cell r="I585" t="e">
            <v>#N/A</v>
          </cell>
        </row>
        <row r="586">
          <cell r="A586">
            <v>26542</v>
          </cell>
          <cell r="B586" t="e">
            <v>#N/A</v>
          </cell>
          <cell r="C586">
            <v>61.7</v>
          </cell>
          <cell r="D586" t="e">
            <v>#N/A</v>
          </cell>
          <cell r="E586">
            <v>14.6</v>
          </cell>
          <cell r="F586">
            <v>9.52</v>
          </cell>
          <cell r="G586" t="e">
            <v>#N/A</v>
          </cell>
          <cell r="H586">
            <v>5.4</v>
          </cell>
          <cell r="I586" t="e">
            <v>#N/A</v>
          </cell>
        </row>
        <row r="587">
          <cell r="A587">
            <v>26511</v>
          </cell>
          <cell r="B587" t="e">
            <v>#N/A</v>
          </cell>
          <cell r="C587">
            <v>60.1</v>
          </cell>
          <cell r="D587" t="e">
            <v>#N/A</v>
          </cell>
          <cell r="E587">
            <v>13.9</v>
          </cell>
          <cell r="F587">
            <v>9.4499999999999993</v>
          </cell>
          <cell r="G587" t="e">
            <v>#N/A</v>
          </cell>
          <cell r="H587">
            <v>5.3</v>
          </cell>
          <cell r="I587" t="e">
            <v>#N/A</v>
          </cell>
        </row>
        <row r="588">
          <cell r="A588">
            <v>26480</v>
          </cell>
          <cell r="B588" t="e">
            <v>#N/A</v>
          </cell>
          <cell r="C588">
            <v>58.6</v>
          </cell>
          <cell r="D588" t="e">
            <v>#N/A</v>
          </cell>
          <cell r="E588">
            <v>14.7</v>
          </cell>
          <cell r="F588">
            <v>9.42</v>
          </cell>
          <cell r="G588" t="e">
            <v>#N/A</v>
          </cell>
          <cell r="H588">
            <v>5.2</v>
          </cell>
          <cell r="I588" t="e">
            <v>#N/A</v>
          </cell>
        </row>
        <row r="589">
          <cell r="A589">
            <v>26450</v>
          </cell>
          <cell r="B589" t="e">
            <v>#N/A</v>
          </cell>
          <cell r="C589">
            <v>61.4</v>
          </cell>
          <cell r="D589" t="e">
            <v>#N/A</v>
          </cell>
          <cell r="E589">
            <v>13.8</v>
          </cell>
          <cell r="F589">
            <v>9.39</v>
          </cell>
          <cell r="G589" t="e">
            <v>#N/A</v>
          </cell>
          <cell r="H589">
            <v>5.0999999999999996</v>
          </cell>
          <cell r="I589" t="e">
            <v>#N/A</v>
          </cell>
        </row>
        <row r="590">
          <cell r="A590">
            <v>26419</v>
          </cell>
          <cell r="B590" t="e">
            <v>#N/A</v>
          </cell>
          <cell r="C590">
            <v>59.3</v>
          </cell>
          <cell r="D590" t="e">
            <v>#N/A</v>
          </cell>
          <cell r="E590">
            <v>11.4</v>
          </cell>
          <cell r="F590">
            <v>9.3000000000000007</v>
          </cell>
          <cell r="G590" t="e">
            <v>#N/A</v>
          </cell>
          <cell r="H590">
            <v>5</v>
          </cell>
          <cell r="I590" t="e">
            <v>#N/A</v>
          </cell>
        </row>
        <row r="591">
          <cell r="A591">
            <v>26389</v>
          </cell>
          <cell r="B591" t="e">
            <v>#N/A</v>
          </cell>
          <cell r="C591">
            <v>59.8</v>
          </cell>
          <cell r="D591" t="e">
            <v>#N/A</v>
          </cell>
          <cell r="E591">
            <v>10.199999999999999</v>
          </cell>
          <cell r="F591">
            <v>9.24</v>
          </cell>
          <cell r="G591" t="e">
            <v>#N/A</v>
          </cell>
          <cell r="H591">
            <v>5</v>
          </cell>
          <cell r="I591" t="e">
            <v>#N/A</v>
          </cell>
        </row>
        <row r="592">
          <cell r="A592">
            <v>26358</v>
          </cell>
          <cell r="B592" t="e">
            <v>#N/A</v>
          </cell>
          <cell r="C592">
            <v>60.6</v>
          </cell>
          <cell r="D592" t="e">
            <v>#N/A</v>
          </cell>
          <cell r="E592">
            <v>9.1999999999999993</v>
          </cell>
          <cell r="F592">
            <v>9.07</v>
          </cell>
          <cell r="G592" t="e">
            <v>#N/A</v>
          </cell>
          <cell r="H592">
            <v>4.9000000000000004</v>
          </cell>
          <cell r="I592" t="e">
            <v>#N/A</v>
          </cell>
        </row>
        <row r="593">
          <cell r="A593">
            <v>26329</v>
          </cell>
          <cell r="B593" t="e">
            <v>#N/A</v>
          </cell>
          <cell r="C593">
            <v>59.6</v>
          </cell>
          <cell r="D593" t="e">
            <v>#N/A</v>
          </cell>
          <cell r="E593">
            <v>7.9</v>
          </cell>
          <cell r="F593">
            <v>8.86</v>
          </cell>
          <cell r="G593" t="e">
            <v>#N/A</v>
          </cell>
          <cell r="H593">
            <v>4.9000000000000004</v>
          </cell>
          <cell r="I593" t="e">
            <v>#N/A</v>
          </cell>
        </row>
        <row r="594">
          <cell r="A594">
            <v>26298</v>
          </cell>
          <cell r="B594" t="e">
            <v>#N/A</v>
          </cell>
          <cell r="C594">
            <v>57.6</v>
          </cell>
          <cell r="D594" t="e">
            <v>#N/A</v>
          </cell>
          <cell r="E594">
            <v>9.1</v>
          </cell>
          <cell r="F594">
            <v>8.7899999999999991</v>
          </cell>
          <cell r="G594" t="e">
            <v>#N/A</v>
          </cell>
          <cell r="H594">
            <v>4.9000000000000004</v>
          </cell>
          <cell r="I594" t="e">
            <v>#N/A</v>
          </cell>
        </row>
        <row r="595">
          <cell r="A595">
            <v>26267</v>
          </cell>
          <cell r="B595" t="e">
            <v>#N/A</v>
          </cell>
          <cell r="C595">
            <v>52.3</v>
          </cell>
          <cell r="D595" t="e">
            <v>#N/A</v>
          </cell>
          <cell r="E595">
            <v>11.8</v>
          </cell>
          <cell r="F595">
            <v>8.7100000000000009</v>
          </cell>
          <cell r="G595" t="e">
            <v>#N/A</v>
          </cell>
          <cell r="H595">
            <v>4.9000000000000004</v>
          </cell>
          <cell r="I595" t="e">
            <v>#N/A</v>
          </cell>
        </row>
        <row r="596">
          <cell r="A596">
            <v>26237</v>
          </cell>
          <cell r="B596" t="e">
            <v>#N/A</v>
          </cell>
          <cell r="C596">
            <v>55</v>
          </cell>
          <cell r="D596" t="e">
            <v>#N/A</v>
          </cell>
          <cell r="E596">
            <v>11.4</v>
          </cell>
          <cell r="F596">
            <v>8.6199999999999992</v>
          </cell>
          <cell r="G596" t="e">
            <v>#N/A</v>
          </cell>
          <cell r="H596">
            <v>4.9000000000000004</v>
          </cell>
          <cell r="I596" t="e">
            <v>#N/A</v>
          </cell>
        </row>
        <row r="597">
          <cell r="A597">
            <v>26206</v>
          </cell>
          <cell r="B597" t="e">
            <v>#N/A</v>
          </cell>
          <cell r="C597">
            <v>55.1</v>
          </cell>
          <cell r="D597" t="e">
            <v>#N/A</v>
          </cell>
          <cell r="E597">
            <v>14.5</v>
          </cell>
          <cell r="F597">
            <v>8.4600000000000009</v>
          </cell>
          <cell r="G597" t="e">
            <v>#N/A</v>
          </cell>
          <cell r="H597">
            <v>4.8</v>
          </cell>
          <cell r="I597" t="e">
            <v>#N/A</v>
          </cell>
        </row>
        <row r="598">
          <cell r="A598">
            <v>26176</v>
          </cell>
          <cell r="B598" t="e">
            <v>#N/A</v>
          </cell>
          <cell r="C598">
            <v>53.6</v>
          </cell>
          <cell r="D598" t="e">
            <v>#N/A</v>
          </cell>
          <cell r="E598">
            <v>15.4</v>
          </cell>
          <cell r="F598">
            <v>8.17</v>
          </cell>
          <cell r="G598" t="e">
            <v>#N/A</v>
          </cell>
          <cell r="H598">
            <v>4.9000000000000004</v>
          </cell>
          <cell r="I598" t="e">
            <v>#N/A</v>
          </cell>
        </row>
        <row r="599">
          <cell r="A599">
            <v>26145</v>
          </cell>
          <cell r="B599" t="e">
            <v>#N/A</v>
          </cell>
          <cell r="C599">
            <v>54.4</v>
          </cell>
          <cell r="D599" t="e">
            <v>#N/A</v>
          </cell>
          <cell r="E599">
            <v>15.1</v>
          </cell>
          <cell r="F599">
            <v>8.1</v>
          </cell>
          <cell r="G599" t="e">
            <v>#N/A</v>
          </cell>
          <cell r="H599">
            <v>4.8</v>
          </cell>
          <cell r="I599" t="e">
            <v>#N/A</v>
          </cell>
        </row>
        <row r="600">
          <cell r="A600">
            <v>26114</v>
          </cell>
          <cell r="B600" t="e">
            <v>#N/A</v>
          </cell>
          <cell r="C600">
            <v>53.8</v>
          </cell>
          <cell r="D600" t="e">
            <v>#N/A</v>
          </cell>
          <cell r="E600">
            <v>13.9</v>
          </cell>
          <cell r="F600">
            <v>8.1300000000000008</v>
          </cell>
          <cell r="G600" t="e">
            <v>#N/A</v>
          </cell>
          <cell r="H600">
            <v>4.8</v>
          </cell>
          <cell r="I600" t="e">
            <v>#N/A</v>
          </cell>
        </row>
        <row r="601">
          <cell r="A601">
            <v>26084</v>
          </cell>
          <cell r="B601" t="e">
            <v>#N/A</v>
          </cell>
          <cell r="C601">
            <v>54.2</v>
          </cell>
          <cell r="D601" t="e">
            <v>#N/A</v>
          </cell>
          <cell r="E601">
            <v>11.7</v>
          </cell>
          <cell r="F601">
            <v>7.99</v>
          </cell>
          <cell r="G601" t="e">
            <v>#N/A</v>
          </cell>
          <cell r="H601">
            <v>4.7</v>
          </cell>
          <cell r="I601" t="e">
            <v>#N/A</v>
          </cell>
        </row>
        <row r="602">
          <cell r="A602">
            <v>26053</v>
          </cell>
          <cell r="B602" t="e">
            <v>#N/A</v>
          </cell>
          <cell r="C602">
            <v>54.5</v>
          </cell>
          <cell r="D602" t="e">
            <v>#N/A</v>
          </cell>
          <cell r="E602">
            <v>12.6</v>
          </cell>
          <cell r="F602">
            <v>7.92</v>
          </cell>
          <cell r="G602" t="e">
            <v>#N/A</v>
          </cell>
          <cell r="H602">
            <v>4.7</v>
          </cell>
          <cell r="I602" t="e">
            <v>#N/A</v>
          </cell>
        </row>
        <row r="603">
          <cell r="A603">
            <v>26023</v>
          </cell>
          <cell r="B603" t="e">
            <v>#N/A</v>
          </cell>
          <cell r="C603">
            <v>51.2</v>
          </cell>
          <cell r="D603" t="e">
            <v>#N/A</v>
          </cell>
          <cell r="E603">
            <v>15.5</v>
          </cell>
          <cell r="F603">
            <v>7.88</v>
          </cell>
          <cell r="G603" t="e">
            <v>#N/A</v>
          </cell>
          <cell r="H603">
            <v>4.7</v>
          </cell>
          <cell r="I603" t="e">
            <v>#N/A</v>
          </cell>
        </row>
        <row r="604">
          <cell r="A604">
            <v>25992</v>
          </cell>
          <cell r="B604" t="e">
            <v>#N/A</v>
          </cell>
          <cell r="C604">
            <v>54.8</v>
          </cell>
          <cell r="D604" t="e">
            <v>#N/A</v>
          </cell>
          <cell r="E604">
            <v>15.9</v>
          </cell>
          <cell r="F604">
            <v>7.86</v>
          </cell>
          <cell r="G604" t="e">
            <v>#N/A</v>
          </cell>
          <cell r="H604">
            <v>4.5999999999999996</v>
          </cell>
          <cell r="I604" t="e">
            <v>#N/A</v>
          </cell>
        </row>
        <row r="605">
          <cell r="A605">
            <v>25964</v>
          </cell>
          <cell r="B605" t="e">
            <v>#N/A</v>
          </cell>
          <cell r="C605">
            <v>47.9</v>
          </cell>
          <cell r="D605" t="e">
            <v>#N/A</v>
          </cell>
          <cell r="E605">
            <v>15.9</v>
          </cell>
          <cell r="F605">
            <v>7.82</v>
          </cell>
          <cell r="G605" t="e">
            <v>#N/A</v>
          </cell>
          <cell r="H605">
            <v>4.5999999999999996</v>
          </cell>
          <cell r="I605" t="e">
            <v>#N/A</v>
          </cell>
        </row>
        <row r="606">
          <cell r="A606">
            <v>25933</v>
          </cell>
          <cell r="B606" t="e">
            <v>#N/A</v>
          </cell>
          <cell r="C606">
            <v>45.4</v>
          </cell>
          <cell r="D606" t="e">
            <v>#N/A</v>
          </cell>
          <cell r="E606">
            <v>14.4</v>
          </cell>
          <cell r="F606">
            <v>7.78</v>
          </cell>
          <cell r="G606" t="e">
            <v>#N/A</v>
          </cell>
          <cell r="H606">
            <v>4.5999999999999996</v>
          </cell>
          <cell r="I606" t="e">
            <v>#N/A</v>
          </cell>
        </row>
        <row r="607">
          <cell r="A607">
            <v>25902</v>
          </cell>
          <cell r="B607" t="e">
            <v>#N/A</v>
          </cell>
          <cell r="C607">
            <v>39.700000000000003</v>
          </cell>
          <cell r="D607" t="e">
            <v>#N/A</v>
          </cell>
          <cell r="E607">
            <v>13</v>
          </cell>
          <cell r="F607">
            <v>7.73</v>
          </cell>
          <cell r="G607" t="e">
            <v>#N/A</v>
          </cell>
          <cell r="H607">
            <v>4.5</v>
          </cell>
          <cell r="I607" t="e">
            <v>#N/A</v>
          </cell>
        </row>
        <row r="608">
          <cell r="A608">
            <v>25872</v>
          </cell>
          <cell r="B608" t="e">
            <v>#N/A</v>
          </cell>
          <cell r="C608">
            <v>42.4</v>
          </cell>
          <cell r="D608" t="e">
            <v>#N/A</v>
          </cell>
          <cell r="E608">
            <v>14.5</v>
          </cell>
          <cell r="F608">
            <v>7.65</v>
          </cell>
          <cell r="G608" t="e">
            <v>#N/A</v>
          </cell>
          <cell r="H608">
            <v>4.5</v>
          </cell>
          <cell r="I608" t="e">
            <v>#N/A</v>
          </cell>
        </row>
        <row r="609">
          <cell r="A609">
            <v>25841</v>
          </cell>
          <cell r="B609" t="e">
            <v>#N/A</v>
          </cell>
          <cell r="C609">
            <v>44.1</v>
          </cell>
          <cell r="D609" t="e">
            <v>#N/A</v>
          </cell>
          <cell r="E609">
            <v>15.3</v>
          </cell>
          <cell r="F609">
            <v>7.65</v>
          </cell>
          <cell r="G609" t="e">
            <v>#N/A</v>
          </cell>
          <cell r="H609">
            <v>4.5</v>
          </cell>
          <cell r="I609" t="e">
            <v>#N/A</v>
          </cell>
        </row>
        <row r="610">
          <cell r="A610">
            <v>25811</v>
          </cell>
          <cell r="B610" t="e">
            <v>#N/A</v>
          </cell>
          <cell r="C610">
            <v>47.3</v>
          </cell>
          <cell r="D610" t="e">
            <v>#N/A</v>
          </cell>
          <cell r="E610">
            <v>16.2</v>
          </cell>
          <cell r="F610">
            <v>7.58</v>
          </cell>
          <cell r="G610" t="e">
            <v>#N/A</v>
          </cell>
          <cell r="H610">
            <v>4.4000000000000004</v>
          </cell>
          <cell r="I610" t="e">
            <v>#N/A</v>
          </cell>
        </row>
        <row r="611">
          <cell r="A611">
            <v>25780</v>
          </cell>
          <cell r="B611" t="e">
            <v>#N/A</v>
          </cell>
          <cell r="C611">
            <v>49.5</v>
          </cell>
          <cell r="D611" t="e">
            <v>#N/A</v>
          </cell>
          <cell r="E611">
            <v>16</v>
          </cell>
          <cell r="F611">
            <v>7.56</v>
          </cell>
          <cell r="G611" t="e">
            <v>#N/A</v>
          </cell>
          <cell r="H611">
            <v>4.4000000000000004</v>
          </cell>
          <cell r="I611" t="e">
            <v>#N/A</v>
          </cell>
        </row>
        <row r="612">
          <cell r="A612">
            <v>25749</v>
          </cell>
          <cell r="B612" t="e">
            <v>#N/A</v>
          </cell>
          <cell r="C612">
            <v>51.1</v>
          </cell>
          <cell r="D612" t="e">
            <v>#N/A</v>
          </cell>
          <cell r="E612">
            <v>15.2</v>
          </cell>
          <cell r="F612">
            <v>7.55</v>
          </cell>
          <cell r="G612" t="e">
            <v>#N/A</v>
          </cell>
          <cell r="H612">
            <v>4.4000000000000004</v>
          </cell>
          <cell r="I612" t="e">
            <v>#N/A</v>
          </cell>
        </row>
        <row r="613">
          <cell r="A613">
            <v>25719</v>
          </cell>
          <cell r="B613" t="e">
            <v>#N/A</v>
          </cell>
          <cell r="C613">
            <v>47.2</v>
          </cell>
          <cell r="D613" t="e">
            <v>#N/A</v>
          </cell>
          <cell r="E613">
            <v>18</v>
          </cell>
          <cell r="F613">
            <v>7.55</v>
          </cell>
          <cell r="G613" t="e">
            <v>#N/A</v>
          </cell>
          <cell r="H613">
            <v>4.3</v>
          </cell>
          <cell r="I613" t="e">
            <v>#N/A</v>
          </cell>
        </row>
        <row r="614">
          <cell r="A614">
            <v>25688</v>
          </cell>
          <cell r="B614" t="e">
            <v>#N/A</v>
          </cell>
          <cell r="C614">
            <v>45</v>
          </cell>
          <cell r="D614" t="e">
            <v>#N/A</v>
          </cell>
          <cell r="E614">
            <v>20</v>
          </cell>
          <cell r="F614">
            <v>7.52</v>
          </cell>
          <cell r="G614" t="e">
            <v>#N/A</v>
          </cell>
          <cell r="H614">
            <v>4.3</v>
          </cell>
          <cell r="I614" t="e">
            <v>#N/A</v>
          </cell>
        </row>
        <row r="615">
          <cell r="A615">
            <v>25658</v>
          </cell>
          <cell r="B615" t="e">
            <v>#N/A</v>
          </cell>
          <cell r="C615">
            <v>46.9</v>
          </cell>
          <cell r="D615" t="e">
            <v>#N/A</v>
          </cell>
          <cell r="E615">
            <v>18.100000000000001</v>
          </cell>
          <cell r="F615">
            <v>7.43</v>
          </cell>
          <cell r="G615" t="e">
            <v>#N/A</v>
          </cell>
          <cell r="H615">
            <v>4.3</v>
          </cell>
          <cell r="I615" t="e">
            <v>#N/A</v>
          </cell>
        </row>
        <row r="616">
          <cell r="A616">
            <v>25627</v>
          </cell>
          <cell r="B616" t="e">
            <v>#N/A</v>
          </cell>
          <cell r="C616">
            <v>47.4</v>
          </cell>
          <cell r="D616" t="e">
            <v>#N/A</v>
          </cell>
          <cell r="E616">
            <v>16.5</v>
          </cell>
          <cell r="F616">
            <v>7.36</v>
          </cell>
          <cell r="G616" t="e">
            <v>#N/A</v>
          </cell>
          <cell r="H616">
            <v>4.2</v>
          </cell>
          <cell r="I616" t="e">
            <v>#N/A</v>
          </cell>
        </row>
        <row r="617">
          <cell r="A617">
            <v>25599</v>
          </cell>
          <cell r="B617" t="e">
            <v>#N/A</v>
          </cell>
          <cell r="C617">
            <v>48.7</v>
          </cell>
          <cell r="D617" t="e">
            <v>#N/A</v>
          </cell>
          <cell r="E617">
            <v>14.9</v>
          </cell>
          <cell r="F617">
            <v>7.29</v>
          </cell>
          <cell r="G617" t="e">
            <v>#N/A</v>
          </cell>
          <cell r="H617">
            <v>4.2</v>
          </cell>
          <cell r="I617" t="e">
            <v>#N/A</v>
          </cell>
        </row>
        <row r="618">
          <cell r="A618">
            <v>25568</v>
          </cell>
          <cell r="B618" t="e">
            <v>#N/A</v>
          </cell>
          <cell r="C618">
            <v>52</v>
          </cell>
          <cell r="D618" t="e">
            <v>#N/A</v>
          </cell>
          <cell r="E618">
            <v>16.3</v>
          </cell>
          <cell r="F618">
            <v>7.12</v>
          </cell>
          <cell r="G618" t="e">
            <v>#N/A</v>
          </cell>
          <cell r="H618" t="e">
            <v>#N/A</v>
          </cell>
          <cell r="I618" t="e">
            <v>#N/A</v>
          </cell>
        </row>
        <row r="619">
          <cell r="A619">
            <v>25537</v>
          </cell>
          <cell r="B619" t="e">
            <v>#N/A</v>
          </cell>
          <cell r="C619">
            <v>53.2</v>
          </cell>
          <cell r="D619" t="e">
            <v>#N/A</v>
          </cell>
          <cell r="E619">
            <v>13.1</v>
          </cell>
          <cell r="F619">
            <v>7.05</v>
          </cell>
          <cell r="G619" t="e">
            <v>#N/A</v>
          </cell>
          <cell r="H619" t="e">
            <v>#N/A</v>
          </cell>
          <cell r="I619" t="e">
            <v>#N/A</v>
          </cell>
        </row>
        <row r="620">
          <cell r="A620">
            <v>25507</v>
          </cell>
          <cell r="B620" t="e">
            <v>#N/A</v>
          </cell>
          <cell r="C620">
            <v>54.6</v>
          </cell>
          <cell r="D620" t="e">
            <v>#N/A</v>
          </cell>
          <cell r="E620">
            <v>14.4</v>
          </cell>
          <cell r="F620">
            <v>7.02</v>
          </cell>
          <cell r="G620" t="e">
            <v>#N/A</v>
          </cell>
          <cell r="H620" t="e">
            <v>#N/A</v>
          </cell>
          <cell r="I620" t="e">
            <v>#N/A</v>
          </cell>
        </row>
        <row r="621">
          <cell r="A621">
            <v>25476</v>
          </cell>
          <cell r="B621" t="e">
            <v>#N/A</v>
          </cell>
          <cell r="C621">
            <v>54.1</v>
          </cell>
          <cell r="D621" t="e">
            <v>#N/A</v>
          </cell>
          <cell r="E621">
            <v>14.5</v>
          </cell>
          <cell r="F621">
            <v>6.97</v>
          </cell>
          <cell r="G621" t="e">
            <v>#N/A</v>
          </cell>
          <cell r="H621" t="e">
            <v>#N/A</v>
          </cell>
          <cell r="I621" t="e">
            <v>#N/A</v>
          </cell>
        </row>
        <row r="622">
          <cell r="A622">
            <v>25446</v>
          </cell>
          <cell r="B622" t="e">
            <v>#N/A</v>
          </cell>
          <cell r="C622">
            <v>54.8</v>
          </cell>
          <cell r="D622" t="e">
            <v>#N/A</v>
          </cell>
          <cell r="E622">
            <v>11.4</v>
          </cell>
          <cell r="F622">
            <v>6.93</v>
          </cell>
          <cell r="G622" t="e">
            <v>#N/A</v>
          </cell>
          <cell r="H622" t="e">
            <v>#N/A</v>
          </cell>
          <cell r="I622" t="e">
            <v>#N/A</v>
          </cell>
        </row>
        <row r="623">
          <cell r="A623">
            <v>25415</v>
          </cell>
          <cell r="B623" t="e">
            <v>#N/A</v>
          </cell>
          <cell r="C623">
            <v>53.1</v>
          </cell>
          <cell r="D623" t="e">
            <v>#N/A</v>
          </cell>
          <cell r="E623">
            <v>11.6</v>
          </cell>
          <cell r="F623">
            <v>6.93</v>
          </cell>
          <cell r="G623" t="e">
            <v>#N/A</v>
          </cell>
          <cell r="H623" t="e">
            <v>#N/A</v>
          </cell>
          <cell r="I623" t="e">
            <v>#N/A</v>
          </cell>
        </row>
        <row r="624">
          <cell r="A624">
            <v>25384</v>
          </cell>
          <cell r="B624" t="e">
            <v>#N/A</v>
          </cell>
          <cell r="C624">
            <v>55.5</v>
          </cell>
          <cell r="D624" t="e">
            <v>#N/A</v>
          </cell>
          <cell r="E624">
            <v>11.5</v>
          </cell>
          <cell r="F624">
            <v>6.92</v>
          </cell>
          <cell r="G624" t="e">
            <v>#N/A</v>
          </cell>
          <cell r="H624" t="e">
            <v>#N/A</v>
          </cell>
          <cell r="I624" t="e">
            <v>#N/A</v>
          </cell>
        </row>
        <row r="625">
          <cell r="A625">
            <v>25354</v>
          </cell>
          <cell r="B625" t="e">
            <v>#N/A</v>
          </cell>
          <cell r="C625">
            <v>56.7</v>
          </cell>
          <cell r="D625" t="e">
            <v>#N/A</v>
          </cell>
          <cell r="E625">
            <v>11.6</v>
          </cell>
          <cell r="F625">
            <v>6.89</v>
          </cell>
          <cell r="G625" t="e">
            <v>#N/A</v>
          </cell>
          <cell r="H625" t="e">
            <v>#N/A</v>
          </cell>
          <cell r="I625" t="e">
            <v>#N/A</v>
          </cell>
        </row>
        <row r="626">
          <cell r="A626">
            <v>25323</v>
          </cell>
          <cell r="B626" t="e">
            <v>#N/A</v>
          </cell>
          <cell r="C626">
            <v>55.2</v>
          </cell>
          <cell r="D626" t="e">
            <v>#N/A</v>
          </cell>
          <cell r="E626">
            <v>11.1</v>
          </cell>
          <cell r="F626">
            <v>6.85</v>
          </cell>
          <cell r="G626" t="e">
            <v>#N/A</v>
          </cell>
          <cell r="H626" t="e">
            <v>#N/A</v>
          </cell>
          <cell r="I626" t="e">
            <v>#N/A</v>
          </cell>
        </row>
        <row r="627">
          <cell r="A627">
            <v>25293</v>
          </cell>
          <cell r="B627" t="e">
            <v>#N/A</v>
          </cell>
          <cell r="C627">
            <v>57.1</v>
          </cell>
          <cell r="D627" t="e">
            <v>#N/A</v>
          </cell>
          <cell r="E627">
            <v>10.4</v>
          </cell>
          <cell r="F627">
            <v>6.82</v>
          </cell>
          <cell r="G627" t="e">
            <v>#N/A</v>
          </cell>
          <cell r="H627" t="e">
            <v>#N/A</v>
          </cell>
          <cell r="I627" t="e">
            <v>#N/A</v>
          </cell>
        </row>
        <row r="628">
          <cell r="A628">
            <v>25262</v>
          </cell>
          <cell r="B628" t="e">
            <v>#N/A</v>
          </cell>
          <cell r="C628">
            <v>57</v>
          </cell>
          <cell r="D628" t="e">
            <v>#N/A</v>
          </cell>
          <cell r="E628">
            <v>10.7</v>
          </cell>
          <cell r="F628">
            <v>6.8</v>
          </cell>
          <cell r="G628" t="e">
            <v>#N/A</v>
          </cell>
          <cell r="H628" t="e">
            <v>#N/A</v>
          </cell>
          <cell r="I628" t="e">
            <v>#N/A</v>
          </cell>
        </row>
        <row r="629">
          <cell r="A629">
            <v>25234</v>
          </cell>
          <cell r="B629" t="e">
            <v>#N/A</v>
          </cell>
          <cell r="C629">
            <v>54.9</v>
          </cell>
          <cell r="D629" t="e">
            <v>#N/A</v>
          </cell>
          <cell r="E629">
            <v>11.7</v>
          </cell>
          <cell r="F629">
            <v>6.73</v>
          </cell>
          <cell r="G629" t="e">
            <v>#N/A</v>
          </cell>
          <cell r="H629" t="e">
            <v>#N/A</v>
          </cell>
          <cell r="I629" t="e">
            <v>#N/A</v>
          </cell>
        </row>
        <row r="630">
          <cell r="A630">
            <v>25203</v>
          </cell>
          <cell r="B630" t="e">
            <v>#N/A</v>
          </cell>
          <cell r="C630">
            <v>56.1</v>
          </cell>
          <cell r="D630" t="e">
            <v>#N/A</v>
          </cell>
          <cell r="E630">
            <v>11</v>
          </cell>
          <cell r="F630">
            <v>6.62</v>
          </cell>
          <cell r="G630" t="e">
            <v>#N/A</v>
          </cell>
          <cell r="H630" t="e">
            <v>#N/A</v>
          </cell>
          <cell r="I630" t="e">
            <v>#N/A</v>
          </cell>
        </row>
        <row r="631">
          <cell r="A631">
            <v>25172</v>
          </cell>
          <cell r="B631" t="e">
            <v>#N/A</v>
          </cell>
          <cell r="C631">
            <v>58.1</v>
          </cell>
          <cell r="D631" t="e">
            <v>#N/A</v>
          </cell>
          <cell r="E631">
            <v>11.6</v>
          </cell>
          <cell r="F631">
            <v>6.68</v>
          </cell>
          <cell r="G631" t="e">
            <v>#N/A</v>
          </cell>
          <cell r="H631" t="e">
            <v>#N/A</v>
          </cell>
          <cell r="I631" t="e">
            <v>#N/A</v>
          </cell>
        </row>
        <row r="632">
          <cell r="A632">
            <v>25142</v>
          </cell>
          <cell r="B632" t="e">
            <v>#N/A</v>
          </cell>
          <cell r="C632">
            <v>55.8</v>
          </cell>
          <cell r="D632" t="e">
            <v>#N/A</v>
          </cell>
          <cell r="E632">
            <v>9.8000000000000007</v>
          </cell>
          <cell r="F632">
            <v>6.59</v>
          </cell>
          <cell r="G632" t="e">
            <v>#N/A</v>
          </cell>
          <cell r="H632" t="e">
            <v>#N/A</v>
          </cell>
          <cell r="I632" t="e">
            <v>#N/A</v>
          </cell>
        </row>
        <row r="633">
          <cell r="A633">
            <v>25111</v>
          </cell>
          <cell r="B633" t="e">
            <v>#N/A</v>
          </cell>
          <cell r="C633">
            <v>51.8</v>
          </cell>
          <cell r="D633" t="e">
            <v>#N/A</v>
          </cell>
          <cell r="E633">
            <v>8.6</v>
          </cell>
          <cell r="F633">
            <v>6.49</v>
          </cell>
          <cell r="G633" t="e">
            <v>#N/A</v>
          </cell>
          <cell r="H633" t="e">
            <v>#N/A</v>
          </cell>
          <cell r="I633" t="e">
            <v>#N/A</v>
          </cell>
        </row>
        <row r="634">
          <cell r="A634">
            <v>25081</v>
          </cell>
          <cell r="B634" t="e">
            <v>#N/A</v>
          </cell>
          <cell r="C634">
            <v>52.7</v>
          </cell>
          <cell r="D634" t="e">
            <v>#N/A</v>
          </cell>
          <cell r="E634">
            <v>9.8000000000000007</v>
          </cell>
          <cell r="F634">
            <v>6.5</v>
          </cell>
          <cell r="G634" t="e">
            <v>#N/A</v>
          </cell>
          <cell r="H634" t="e">
            <v>#N/A</v>
          </cell>
          <cell r="I634" t="e">
            <v>#N/A</v>
          </cell>
        </row>
        <row r="635">
          <cell r="A635">
            <v>25050</v>
          </cell>
          <cell r="B635" t="e">
            <v>#N/A</v>
          </cell>
          <cell r="C635">
            <v>54.1</v>
          </cell>
          <cell r="D635" t="e">
            <v>#N/A</v>
          </cell>
          <cell r="E635">
            <v>10.4</v>
          </cell>
          <cell r="F635">
            <v>6.49</v>
          </cell>
          <cell r="G635" t="e">
            <v>#N/A</v>
          </cell>
          <cell r="H635" t="e">
            <v>#N/A</v>
          </cell>
          <cell r="I635" t="e">
            <v>#N/A</v>
          </cell>
        </row>
        <row r="636">
          <cell r="A636">
            <v>25019</v>
          </cell>
          <cell r="B636" t="e">
            <v>#N/A</v>
          </cell>
          <cell r="C636">
            <v>53.5</v>
          </cell>
          <cell r="D636" t="e">
            <v>#N/A</v>
          </cell>
          <cell r="E636">
            <v>10.6</v>
          </cell>
          <cell r="F636">
            <v>6.48</v>
          </cell>
          <cell r="G636" t="e">
            <v>#N/A</v>
          </cell>
          <cell r="H636" t="e">
            <v>#N/A</v>
          </cell>
          <cell r="I636" t="e">
            <v>#N/A</v>
          </cell>
        </row>
        <row r="637">
          <cell r="A637">
            <v>24989</v>
          </cell>
          <cell r="B637" t="e">
            <v>#N/A</v>
          </cell>
          <cell r="C637">
            <v>55.3</v>
          </cell>
          <cell r="D637" t="e">
            <v>#N/A</v>
          </cell>
          <cell r="E637">
            <v>9</v>
          </cell>
          <cell r="F637">
            <v>6.46</v>
          </cell>
          <cell r="G637" t="e">
            <v>#N/A</v>
          </cell>
          <cell r="H637" t="e">
            <v>#N/A</v>
          </cell>
          <cell r="I637" t="e">
            <v>#N/A</v>
          </cell>
        </row>
        <row r="638">
          <cell r="A638">
            <v>24958</v>
          </cell>
          <cell r="B638" t="e">
            <v>#N/A</v>
          </cell>
          <cell r="C638">
            <v>58</v>
          </cell>
          <cell r="D638" t="e">
            <v>#N/A</v>
          </cell>
          <cell r="E638">
            <v>9.8000000000000007</v>
          </cell>
          <cell r="F638">
            <v>6.44</v>
          </cell>
          <cell r="G638" t="e">
            <v>#N/A</v>
          </cell>
          <cell r="H638" t="e">
            <v>#N/A</v>
          </cell>
          <cell r="I638" t="e">
            <v>#N/A</v>
          </cell>
        </row>
        <row r="639">
          <cell r="A639">
            <v>24928</v>
          </cell>
          <cell r="B639" t="e">
            <v>#N/A</v>
          </cell>
          <cell r="C639">
            <v>53.8</v>
          </cell>
          <cell r="D639" t="e">
            <v>#N/A</v>
          </cell>
          <cell r="E639">
            <v>12.8</v>
          </cell>
          <cell r="F639">
            <v>6.41</v>
          </cell>
          <cell r="G639" t="e">
            <v>#N/A</v>
          </cell>
          <cell r="H639" t="e">
            <v>#N/A</v>
          </cell>
          <cell r="I639" t="e">
            <v>#N/A</v>
          </cell>
        </row>
        <row r="640">
          <cell r="A640">
            <v>24897</v>
          </cell>
          <cell r="B640" t="e">
            <v>#N/A</v>
          </cell>
          <cell r="C640">
            <v>55</v>
          </cell>
          <cell r="D640" t="e">
            <v>#N/A</v>
          </cell>
          <cell r="E640">
            <v>13.2</v>
          </cell>
          <cell r="F640">
            <v>6.37</v>
          </cell>
          <cell r="G640" t="e">
            <v>#N/A</v>
          </cell>
          <cell r="H640" t="e">
            <v>#N/A</v>
          </cell>
          <cell r="I640" t="e">
            <v>#N/A</v>
          </cell>
        </row>
        <row r="641">
          <cell r="A641">
            <v>24868</v>
          </cell>
          <cell r="B641" t="e">
            <v>#N/A</v>
          </cell>
          <cell r="C641">
            <v>56.6</v>
          </cell>
          <cell r="D641" t="e">
            <v>#N/A</v>
          </cell>
          <cell r="E641">
            <v>13.1</v>
          </cell>
          <cell r="F641">
            <v>6.27</v>
          </cell>
          <cell r="G641" t="e">
            <v>#N/A</v>
          </cell>
          <cell r="H641" t="e">
            <v>#N/A</v>
          </cell>
          <cell r="I641" t="e">
            <v>#N/A</v>
          </cell>
        </row>
        <row r="642">
          <cell r="A642">
            <v>24837</v>
          </cell>
          <cell r="B642" t="e">
            <v>#N/A</v>
          </cell>
          <cell r="C642">
            <v>55.6</v>
          </cell>
          <cell r="D642" t="e">
            <v>#N/A</v>
          </cell>
          <cell r="E642">
            <v>11.6</v>
          </cell>
          <cell r="F642">
            <v>6.17</v>
          </cell>
          <cell r="G642" t="e">
            <v>#N/A</v>
          </cell>
          <cell r="H642" t="e">
            <v>#N/A</v>
          </cell>
          <cell r="I642" t="e">
            <v>#N/A</v>
          </cell>
        </row>
        <row r="643">
          <cell r="A643">
            <v>24806</v>
          </cell>
          <cell r="B643" t="e">
            <v>#N/A</v>
          </cell>
          <cell r="C643">
            <v>54.2</v>
          </cell>
          <cell r="D643" t="e">
            <v>#N/A</v>
          </cell>
          <cell r="E643">
            <v>11.7</v>
          </cell>
          <cell r="F643">
            <v>6.16</v>
          </cell>
          <cell r="G643" t="e">
            <v>#N/A</v>
          </cell>
          <cell r="H643" t="e">
            <v>#N/A</v>
          </cell>
          <cell r="I643" t="e">
            <v>#N/A</v>
          </cell>
        </row>
        <row r="644">
          <cell r="A644">
            <v>24776</v>
          </cell>
          <cell r="B644" t="e">
            <v>#N/A</v>
          </cell>
          <cell r="C644">
            <v>54.1</v>
          </cell>
          <cell r="D644" t="e">
            <v>#N/A</v>
          </cell>
          <cell r="E644">
            <v>8.1999999999999993</v>
          </cell>
          <cell r="F644">
            <v>6.12</v>
          </cell>
          <cell r="G644" t="e">
            <v>#N/A</v>
          </cell>
          <cell r="H644" t="e">
            <v>#N/A</v>
          </cell>
          <cell r="I644" t="e">
            <v>#N/A</v>
          </cell>
        </row>
        <row r="645">
          <cell r="A645">
            <v>24745</v>
          </cell>
          <cell r="B645" t="e">
            <v>#N/A</v>
          </cell>
          <cell r="C645">
            <v>54.9</v>
          </cell>
          <cell r="D645" t="e">
            <v>#N/A</v>
          </cell>
          <cell r="E645">
            <v>9.3000000000000007</v>
          </cell>
          <cell r="F645">
            <v>6.11</v>
          </cell>
          <cell r="G645" t="e">
            <v>#N/A</v>
          </cell>
          <cell r="H645" t="e">
            <v>#N/A</v>
          </cell>
          <cell r="I645" t="e">
            <v>#N/A</v>
          </cell>
        </row>
        <row r="646">
          <cell r="A646">
            <v>24715</v>
          </cell>
          <cell r="B646" t="e">
            <v>#N/A</v>
          </cell>
          <cell r="C646">
            <v>52.2</v>
          </cell>
          <cell r="D646" t="e">
            <v>#N/A</v>
          </cell>
          <cell r="E646">
            <v>9.6</v>
          </cell>
          <cell r="F646">
            <v>6.08</v>
          </cell>
          <cell r="G646" t="e">
            <v>#N/A</v>
          </cell>
          <cell r="H646" t="e">
            <v>#N/A</v>
          </cell>
          <cell r="I646" t="e">
            <v>#N/A</v>
          </cell>
        </row>
        <row r="647">
          <cell r="A647">
            <v>24684</v>
          </cell>
          <cell r="B647" t="e">
            <v>#N/A</v>
          </cell>
          <cell r="C647">
            <v>49.5</v>
          </cell>
          <cell r="D647" t="e">
            <v>#N/A</v>
          </cell>
          <cell r="E647">
            <v>10.5</v>
          </cell>
          <cell r="F647">
            <v>6.04</v>
          </cell>
          <cell r="G647" t="e">
            <v>#N/A</v>
          </cell>
          <cell r="H647" t="e">
            <v>#N/A</v>
          </cell>
          <cell r="I647" t="e">
            <v>#N/A</v>
          </cell>
        </row>
        <row r="648">
          <cell r="A648">
            <v>24653</v>
          </cell>
          <cell r="B648" t="e">
            <v>#N/A</v>
          </cell>
          <cell r="C648">
            <v>46.8</v>
          </cell>
          <cell r="D648" t="e">
            <v>#N/A</v>
          </cell>
          <cell r="E648">
            <v>9.8000000000000007</v>
          </cell>
          <cell r="F648">
            <v>6.02</v>
          </cell>
          <cell r="G648" t="e">
            <v>#N/A</v>
          </cell>
          <cell r="H648" t="e">
            <v>#N/A</v>
          </cell>
          <cell r="I648" t="e">
            <v>#N/A</v>
          </cell>
        </row>
        <row r="649">
          <cell r="A649">
            <v>24623</v>
          </cell>
          <cell r="B649" t="e">
            <v>#N/A</v>
          </cell>
          <cell r="C649">
            <v>44.5</v>
          </cell>
          <cell r="D649" t="e">
            <v>#N/A</v>
          </cell>
          <cell r="E649">
            <v>11.2</v>
          </cell>
          <cell r="F649">
            <v>6</v>
          </cell>
          <cell r="G649" t="e">
            <v>#N/A</v>
          </cell>
          <cell r="H649" t="e">
            <v>#N/A</v>
          </cell>
          <cell r="I649" t="e">
            <v>#N/A</v>
          </cell>
        </row>
        <row r="650">
          <cell r="A650">
            <v>24592</v>
          </cell>
          <cell r="B650" t="e">
            <v>#N/A</v>
          </cell>
          <cell r="C650">
            <v>42.8</v>
          </cell>
          <cell r="D650" t="e">
            <v>#N/A</v>
          </cell>
          <cell r="E650">
            <v>13.2</v>
          </cell>
          <cell r="F650">
            <v>5.92</v>
          </cell>
          <cell r="G650" t="e">
            <v>#N/A</v>
          </cell>
          <cell r="H650" t="e">
            <v>#N/A</v>
          </cell>
          <cell r="I650" t="e">
            <v>#N/A</v>
          </cell>
        </row>
        <row r="651">
          <cell r="A651">
            <v>24562</v>
          </cell>
          <cell r="B651" t="e">
            <v>#N/A</v>
          </cell>
          <cell r="C651">
            <v>45.3</v>
          </cell>
          <cell r="D651" t="e">
            <v>#N/A</v>
          </cell>
          <cell r="E651">
            <v>11.4</v>
          </cell>
          <cell r="F651">
            <v>5.8</v>
          </cell>
          <cell r="G651" t="e">
            <v>#N/A</v>
          </cell>
          <cell r="H651" t="e">
            <v>#N/A</v>
          </cell>
          <cell r="I651" t="e">
            <v>#N/A</v>
          </cell>
        </row>
        <row r="652">
          <cell r="A652">
            <v>24531</v>
          </cell>
          <cell r="B652" t="e">
            <v>#N/A</v>
          </cell>
          <cell r="C652">
            <v>47.6</v>
          </cell>
          <cell r="D652" t="e">
            <v>#N/A</v>
          </cell>
          <cell r="E652">
            <v>11.6</v>
          </cell>
          <cell r="F652">
            <v>5.77</v>
          </cell>
          <cell r="G652" t="e">
            <v>#N/A</v>
          </cell>
          <cell r="H652" t="e">
            <v>#N/A</v>
          </cell>
          <cell r="I652" t="e">
            <v>#N/A</v>
          </cell>
        </row>
        <row r="653">
          <cell r="A653">
            <v>24503</v>
          </cell>
          <cell r="B653" t="e">
            <v>#N/A</v>
          </cell>
          <cell r="C653">
            <v>49.1</v>
          </cell>
          <cell r="D653" t="e">
            <v>#N/A</v>
          </cell>
          <cell r="E653">
            <v>13.2</v>
          </cell>
          <cell r="F653">
            <v>5.73</v>
          </cell>
          <cell r="G653" t="e">
            <v>#N/A</v>
          </cell>
          <cell r="H653" t="e">
            <v>#N/A</v>
          </cell>
          <cell r="I653" t="e">
            <v>#N/A</v>
          </cell>
        </row>
        <row r="654">
          <cell r="A654">
            <v>24472</v>
          </cell>
          <cell r="B654" t="e">
            <v>#N/A</v>
          </cell>
          <cell r="C654">
            <v>52.4</v>
          </cell>
          <cell r="D654" t="e">
            <v>#N/A</v>
          </cell>
          <cell r="E654">
            <v>15.2</v>
          </cell>
          <cell r="F654">
            <v>5.76</v>
          </cell>
          <cell r="G654" t="e">
            <v>#N/A</v>
          </cell>
          <cell r="H654" t="e">
            <v>#N/A</v>
          </cell>
          <cell r="I654" t="e">
            <v>#N/A</v>
          </cell>
        </row>
        <row r="655">
          <cell r="A655">
            <v>24441</v>
          </cell>
          <cell r="B655" t="e">
            <v>#N/A</v>
          </cell>
          <cell r="C655">
            <v>53.7</v>
          </cell>
          <cell r="D655" t="e">
            <v>#N/A</v>
          </cell>
          <cell r="E655">
            <v>15.5</v>
          </cell>
          <cell r="F655">
            <v>5.74</v>
          </cell>
          <cell r="G655" t="e">
            <v>#N/A</v>
          </cell>
          <cell r="H655" t="e">
            <v>#N/A</v>
          </cell>
          <cell r="I655" t="e">
            <v>#N/A</v>
          </cell>
        </row>
        <row r="656">
          <cell r="A656">
            <v>24411</v>
          </cell>
          <cell r="B656" t="e">
            <v>#N/A</v>
          </cell>
          <cell r="C656">
            <v>57.2</v>
          </cell>
          <cell r="D656" t="e">
            <v>#N/A</v>
          </cell>
          <cell r="E656">
            <v>16.5</v>
          </cell>
          <cell r="F656">
            <v>5.78</v>
          </cell>
          <cell r="G656" t="e">
            <v>#N/A</v>
          </cell>
          <cell r="H656" t="e">
            <v>#N/A</v>
          </cell>
          <cell r="I656" t="e">
            <v>#N/A</v>
          </cell>
        </row>
        <row r="657">
          <cell r="A657">
            <v>24380</v>
          </cell>
          <cell r="B657" t="e">
            <v>#N/A</v>
          </cell>
          <cell r="C657">
            <v>58.7</v>
          </cell>
          <cell r="D657" t="e">
            <v>#N/A</v>
          </cell>
          <cell r="E657">
            <v>12.9</v>
          </cell>
          <cell r="F657">
            <v>5.78</v>
          </cell>
          <cell r="G657" t="e">
            <v>#N/A</v>
          </cell>
          <cell r="H657" t="e">
            <v>#N/A</v>
          </cell>
          <cell r="I657" t="e">
            <v>#N/A</v>
          </cell>
        </row>
        <row r="658">
          <cell r="A658">
            <v>24350</v>
          </cell>
          <cell r="B658" t="e">
            <v>#N/A</v>
          </cell>
          <cell r="C658">
            <v>58.5</v>
          </cell>
          <cell r="D658" t="e">
            <v>#N/A</v>
          </cell>
          <cell r="E658">
            <v>10.3</v>
          </cell>
          <cell r="F658">
            <v>5.78</v>
          </cell>
          <cell r="G658" t="e">
            <v>#N/A</v>
          </cell>
          <cell r="H658" t="e">
            <v>#N/A</v>
          </cell>
          <cell r="I658" t="e">
            <v>#N/A</v>
          </cell>
        </row>
        <row r="659">
          <cell r="A659">
            <v>24319</v>
          </cell>
          <cell r="B659" t="e">
            <v>#N/A</v>
          </cell>
          <cell r="C659">
            <v>60.3</v>
          </cell>
          <cell r="D659" t="e">
            <v>#N/A</v>
          </cell>
          <cell r="E659">
            <v>9.1</v>
          </cell>
          <cell r="F659">
            <v>5.75</v>
          </cell>
          <cell r="G659" t="e">
            <v>#N/A</v>
          </cell>
          <cell r="H659" t="e">
            <v>#N/A</v>
          </cell>
          <cell r="I659" t="e">
            <v>#N/A</v>
          </cell>
        </row>
        <row r="660">
          <cell r="A660">
            <v>24288</v>
          </cell>
          <cell r="B660" t="e">
            <v>#N/A</v>
          </cell>
          <cell r="C660">
            <v>59</v>
          </cell>
          <cell r="D660" t="e">
            <v>#N/A</v>
          </cell>
          <cell r="E660">
            <v>11</v>
          </cell>
          <cell r="F660">
            <v>5.72</v>
          </cell>
          <cell r="G660" t="e">
            <v>#N/A</v>
          </cell>
          <cell r="H660" t="e">
            <v>#N/A</v>
          </cell>
          <cell r="I660" t="e">
            <v>#N/A</v>
          </cell>
        </row>
        <row r="661">
          <cell r="A661">
            <v>24258</v>
          </cell>
          <cell r="B661" t="e">
            <v>#N/A</v>
          </cell>
          <cell r="C661">
            <v>57.7</v>
          </cell>
          <cell r="D661" t="e">
            <v>#N/A</v>
          </cell>
          <cell r="E661">
            <v>9.9</v>
          </cell>
          <cell r="F661">
            <v>5.64</v>
          </cell>
          <cell r="G661" t="e">
            <v>#N/A</v>
          </cell>
          <cell r="H661" t="e">
            <v>#N/A</v>
          </cell>
          <cell r="I661" t="e">
            <v>#N/A</v>
          </cell>
        </row>
        <row r="662">
          <cell r="A662">
            <v>24227</v>
          </cell>
          <cell r="B662" t="e">
            <v>#N/A</v>
          </cell>
          <cell r="C662">
            <v>64.2</v>
          </cell>
          <cell r="D662" t="e">
            <v>#N/A</v>
          </cell>
          <cell r="E662">
            <v>9</v>
          </cell>
          <cell r="F662">
            <v>5.53</v>
          </cell>
          <cell r="G662" t="e">
            <v>#N/A</v>
          </cell>
          <cell r="H662" t="e">
            <v>#N/A</v>
          </cell>
          <cell r="I662" t="e">
            <v>#N/A</v>
          </cell>
        </row>
        <row r="663">
          <cell r="A663">
            <v>24197</v>
          </cell>
          <cell r="B663" t="e">
            <v>#N/A</v>
          </cell>
          <cell r="C663">
            <v>65.7</v>
          </cell>
          <cell r="D663" t="e">
            <v>#N/A</v>
          </cell>
          <cell r="E663">
            <v>9.6</v>
          </cell>
          <cell r="F663">
            <v>5.44</v>
          </cell>
          <cell r="G663" t="e">
            <v>#N/A</v>
          </cell>
          <cell r="H663" t="e">
            <v>#N/A</v>
          </cell>
          <cell r="I663" t="e">
            <v>#N/A</v>
          </cell>
        </row>
        <row r="664">
          <cell r="A664">
            <v>24166</v>
          </cell>
          <cell r="B664" t="e">
            <v>#N/A</v>
          </cell>
          <cell r="C664">
            <v>65.5</v>
          </cell>
          <cell r="D664" t="e">
            <v>#N/A</v>
          </cell>
          <cell r="E664">
            <v>8.1</v>
          </cell>
          <cell r="F664">
            <v>5.41</v>
          </cell>
          <cell r="G664" t="e">
            <v>#N/A</v>
          </cell>
          <cell r="H664" t="e">
            <v>#N/A</v>
          </cell>
          <cell r="I664" t="e">
            <v>#N/A</v>
          </cell>
        </row>
        <row r="665">
          <cell r="A665">
            <v>24138</v>
          </cell>
          <cell r="B665" t="e">
            <v>#N/A</v>
          </cell>
          <cell r="C665">
            <v>65.8</v>
          </cell>
          <cell r="D665" t="e">
            <v>#N/A</v>
          </cell>
          <cell r="E665">
            <v>7.4</v>
          </cell>
          <cell r="F665">
            <v>5.33</v>
          </cell>
          <cell r="G665" t="e">
            <v>#N/A</v>
          </cell>
          <cell r="H665" t="e">
            <v>#N/A</v>
          </cell>
          <cell r="I665" t="e">
            <v>#N/A</v>
          </cell>
        </row>
        <row r="666">
          <cell r="A666">
            <v>24107</v>
          </cell>
          <cell r="B666" t="e">
            <v>#N/A</v>
          </cell>
          <cell r="C666">
            <v>62.8</v>
          </cell>
          <cell r="D666" t="e">
            <v>#N/A</v>
          </cell>
          <cell r="E666">
            <v>9.6</v>
          </cell>
          <cell r="F666">
            <v>5.29</v>
          </cell>
          <cell r="G666" t="e">
            <v>#N/A</v>
          </cell>
          <cell r="H666" t="e">
            <v>#N/A</v>
          </cell>
          <cell r="I666" t="e">
            <v>#N/A</v>
          </cell>
        </row>
        <row r="667">
          <cell r="A667">
            <v>24076</v>
          </cell>
          <cell r="B667" t="e">
            <v>#N/A</v>
          </cell>
          <cell r="C667">
            <v>59.4</v>
          </cell>
          <cell r="D667" t="e">
            <v>#N/A</v>
          </cell>
          <cell r="E667">
            <v>10.199999999999999</v>
          </cell>
          <cell r="F667">
            <v>5.25</v>
          </cell>
          <cell r="G667" t="e">
            <v>#N/A</v>
          </cell>
          <cell r="H667" t="e">
            <v>#N/A</v>
          </cell>
          <cell r="I667" t="e">
            <v>#N/A</v>
          </cell>
        </row>
        <row r="668">
          <cell r="A668">
            <v>24046</v>
          </cell>
          <cell r="B668" t="e">
            <v>#N/A</v>
          </cell>
          <cell r="C668">
            <v>58.6</v>
          </cell>
          <cell r="D668" t="e">
            <v>#N/A</v>
          </cell>
          <cell r="E668">
            <v>12</v>
          </cell>
          <cell r="F668">
            <v>5.26</v>
          </cell>
          <cell r="G668" t="e">
            <v>#N/A</v>
          </cell>
          <cell r="H668" t="e">
            <v>#N/A</v>
          </cell>
          <cell r="I668" t="e">
            <v>#N/A</v>
          </cell>
        </row>
        <row r="669">
          <cell r="A669">
            <v>24015</v>
          </cell>
          <cell r="B669" t="e">
            <v>#N/A</v>
          </cell>
          <cell r="C669">
            <v>61</v>
          </cell>
          <cell r="D669" t="e">
            <v>#N/A</v>
          </cell>
          <cell r="E669">
            <v>15.1</v>
          </cell>
          <cell r="F669">
            <v>5.28</v>
          </cell>
          <cell r="G669" t="e">
            <v>#N/A</v>
          </cell>
          <cell r="H669" t="e">
            <v>#N/A</v>
          </cell>
          <cell r="I669" t="e">
            <v>#N/A</v>
          </cell>
        </row>
        <row r="670">
          <cell r="A670">
            <v>23985</v>
          </cell>
          <cell r="B670" t="e">
            <v>#N/A</v>
          </cell>
          <cell r="C670">
            <v>58.1</v>
          </cell>
          <cell r="D670" t="e">
            <v>#N/A</v>
          </cell>
          <cell r="E670">
            <v>19.8</v>
          </cell>
          <cell r="F670">
            <v>5.25</v>
          </cell>
          <cell r="G670" t="e">
            <v>#N/A</v>
          </cell>
          <cell r="H670" t="e">
            <v>#N/A</v>
          </cell>
          <cell r="I670" t="e">
            <v>#N/A</v>
          </cell>
        </row>
        <row r="671">
          <cell r="A671">
            <v>23954</v>
          </cell>
          <cell r="B671" t="e">
            <v>#N/A</v>
          </cell>
          <cell r="C671">
            <v>58.1</v>
          </cell>
          <cell r="D671" t="e">
            <v>#N/A</v>
          </cell>
          <cell r="E671">
            <v>17.600000000000001</v>
          </cell>
          <cell r="F671">
            <v>5.25</v>
          </cell>
          <cell r="G671" t="e">
            <v>#N/A</v>
          </cell>
          <cell r="H671" t="e">
            <v>#N/A</v>
          </cell>
          <cell r="I671" t="e">
            <v>#N/A</v>
          </cell>
        </row>
        <row r="672">
          <cell r="A672">
            <v>23923</v>
          </cell>
          <cell r="B672" t="e">
            <v>#N/A</v>
          </cell>
          <cell r="C672">
            <v>58.7</v>
          </cell>
          <cell r="D672" t="e">
            <v>#N/A</v>
          </cell>
          <cell r="E672">
            <v>13</v>
          </cell>
          <cell r="F672">
            <v>5.23</v>
          </cell>
          <cell r="G672" t="e">
            <v>#N/A</v>
          </cell>
          <cell r="H672" t="e">
            <v>#N/A</v>
          </cell>
          <cell r="I672" t="e">
            <v>#N/A</v>
          </cell>
        </row>
        <row r="673">
          <cell r="A673">
            <v>23893</v>
          </cell>
          <cell r="B673" t="e">
            <v>#N/A</v>
          </cell>
          <cell r="C673">
            <v>61.3</v>
          </cell>
          <cell r="D673" t="e">
            <v>#N/A</v>
          </cell>
          <cell r="E673">
            <v>8.8000000000000007</v>
          </cell>
          <cell r="F673">
            <v>5.13</v>
          </cell>
          <cell r="G673" t="e">
            <v>#N/A</v>
          </cell>
          <cell r="H673" t="e">
            <v>#N/A</v>
          </cell>
          <cell r="I673" t="e">
            <v>#N/A</v>
          </cell>
        </row>
        <row r="674">
          <cell r="A674">
            <v>23862</v>
          </cell>
          <cell r="B674" t="e">
            <v>#N/A</v>
          </cell>
          <cell r="C674">
            <v>62</v>
          </cell>
          <cell r="D674" t="e">
            <v>#N/A</v>
          </cell>
          <cell r="E674">
            <v>11.7</v>
          </cell>
          <cell r="F674">
            <v>5.03</v>
          </cell>
          <cell r="G674" t="e">
            <v>#N/A</v>
          </cell>
          <cell r="H674" t="e">
            <v>#N/A</v>
          </cell>
          <cell r="I674" t="e">
            <v>#N/A</v>
          </cell>
        </row>
        <row r="675">
          <cell r="A675">
            <v>23832</v>
          </cell>
          <cell r="B675" t="e">
            <v>#N/A</v>
          </cell>
          <cell r="C675">
            <v>64.900000000000006</v>
          </cell>
          <cell r="D675" t="e">
            <v>#N/A</v>
          </cell>
          <cell r="E675">
            <v>12.2</v>
          </cell>
          <cell r="F675">
            <v>5.03</v>
          </cell>
          <cell r="G675" t="e">
            <v>#N/A</v>
          </cell>
          <cell r="H675" t="e">
            <v>#N/A</v>
          </cell>
          <cell r="I675" t="e">
            <v>#N/A</v>
          </cell>
        </row>
        <row r="676">
          <cell r="A676">
            <v>23801</v>
          </cell>
          <cell r="B676" t="e">
            <v>#N/A</v>
          </cell>
          <cell r="C676">
            <v>62.1</v>
          </cell>
          <cell r="D676" t="e">
            <v>#N/A</v>
          </cell>
          <cell r="E676">
            <v>14.3</v>
          </cell>
          <cell r="F676">
            <v>5.07</v>
          </cell>
          <cell r="G676" t="e">
            <v>#N/A</v>
          </cell>
          <cell r="H676" t="e">
            <v>#N/A</v>
          </cell>
          <cell r="I676" t="e">
            <v>#N/A</v>
          </cell>
        </row>
        <row r="677">
          <cell r="A677">
            <v>23773</v>
          </cell>
          <cell r="B677" t="e">
            <v>#N/A</v>
          </cell>
          <cell r="C677">
            <v>61</v>
          </cell>
          <cell r="D677" t="e">
            <v>#N/A</v>
          </cell>
          <cell r="E677">
            <v>19.600000000000001</v>
          </cell>
          <cell r="F677">
            <v>5.03</v>
          </cell>
          <cell r="G677" t="e">
            <v>#N/A</v>
          </cell>
          <cell r="H677" t="e">
            <v>#N/A</v>
          </cell>
          <cell r="I677" t="e">
            <v>#N/A</v>
          </cell>
        </row>
        <row r="678">
          <cell r="A678">
            <v>23742</v>
          </cell>
          <cell r="B678" t="e">
            <v>#N/A</v>
          </cell>
          <cell r="C678">
            <v>62.4</v>
          </cell>
          <cell r="D678" t="e">
            <v>#N/A</v>
          </cell>
          <cell r="E678" t="e">
            <v>#N/A</v>
          </cell>
          <cell r="F678" t="e">
            <v>#N/A</v>
          </cell>
          <cell r="G678" t="e">
            <v>#N/A</v>
          </cell>
          <cell r="H678" t="e">
            <v>#N/A</v>
          </cell>
          <cell r="I678" t="e">
            <v>#N/A</v>
          </cell>
        </row>
        <row r="679">
          <cell r="A679">
            <v>23711</v>
          </cell>
          <cell r="B679" t="e">
            <v>#N/A</v>
          </cell>
          <cell r="C679">
            <v>61.8</v>
          </cell>
          <cell r="D679" t="e">
            <v>#N/A</v>
          </cell>
          <cell r="E679" t="e">
            <v>#N/A</v>
          </cell>
          <cell r="F679" t="e">
            <v>#N/A</v>
          </cell>
          <cell r="G679" t="e">
            <v>#N/A</v>
          </cell>
          <cell r="H679" t="e">
            <v>#N/A</v>
          </cell>
          <cell r="I679" t="e">
            <v>#N/A</v>
          </cell>
        </row>
        <row r="680">
          <cell r="A680">
            <v>23681</v>
          </cell>
          <cell r="B680" t="e">
            <v>#N/A</v>
          </cell>
          <cell r="C680">
            <v>60.7</v>
          </cell>
          <cell r="D680" t="e">
            <v>#N/A</v>
          </cell>
          <cell r="E680" t="e">
            <v>#N/A</v>
          </cell>
          <cell r="F680" t="e">
            <v>#N/A</v>
          </cell>
          <cell r="G680" t="e">
            <v>#N/A</v>
          </cell>
          <cell r="H680" t="e">
            <v>#N/A</v>
          </cell>
          <cell r="I680" t="e">
            <v>#N/A</v>
          </cell>
        </row>
        <row r="681">
          <cell r="A681">
            <v>23650</v>
          </cell>
          <cell r="B681" t="e">
            <v>#N/A</v>
          </cell>
          <cell r="C681">
            <v>63.3</v>
          </cell>
          <cell r="D681" t="e">
            <v>#N/A</v>
          </cell>
          <cell r="E681" t="e">
            <v>#N/A</v>
          </cell>
          <cell r="F681" t="e">
            <v>#N/A</v>
          </cell>
          <cell r="G681" t="e">
            <v>#N/A</v>
          </cell>
          <cell r="H681" t="e">
            <v>#N/A</v>
          </cell>
          <cell r="I681" t="e">
            <v>#N/A</v>
          </cell>
        </row>
        <row r="682">
          <cell r="A682">
            <v>23620</v>
          </cell>
          <cell r="B682" t="e">
            <v>#N/A</v>
          </cell>
          <cell r="C682">
            <v>63.3</v>
          </cell>
          <cell r="D682" t="e">
            <v>#N/A</v>
          </cell>
          <cell r="E682" t="e">
            <v>#N/A</v>
          </cell>
          <cell r="F682" t="e">
            <v>#N/A</v>
          </cell>
          <cell r="G682" t="e">
            <v>#N/A</v>
          </cell>
          <cell r="H682" t="e">
            <v>#N/A</v>
          </cell>
          <cell r="I682" t="e">
            <v>#N/A</v>
          </cell>
        </row>
        <row r="683">
          <cell r="A683">
            <v>23589</v>
          </cell>
          <cell r="B683" t="e">
            <v>#N/A</v>
          </cell>
          <cell r="C683">
            <v>62.9</v>
          </cell>
          <cell r="D683" t="e">
            <v>#N/A</v>
          </cell>
          <cell r="E683" t="e">
            <v>#N/A</v>
          </cell>
          <cell r="F683" t="e">
            <v>#N/A</v>
          </cell>
          <cell r="G683" t="e">
            <v>#N/A</v>
          </cell>
          <cell r="H683" t="e">
            <v>#N/A</v>
          </cell>
          <cell r="I683" t="e">
            <v>#N/A</v>
          </cell>
        </row>
        <row r="684">
          <cell r="A684">
            <v>23558</v>
          </cell>
          <cell r="B684" t="e">
            <v>#N/A</v>
          </cell>
          <cell r="C684">
            <v>60.1</v>
          </cell>
          <cell r="D684" t="e">
            <v>#N/A</v>
          </cell>
          <cell r="E684" t="e">
            <v>#N/A</v>
          </cell>
          <cell r="F684" t="e">
            <v>#N/A</v>
          </cell>
          <cell r="G684" t="e">
            <v>#N/A</v>
          </cell>
          <cell r="H684" t="e">
            <v>#N/A</v>
          </cell>
          <cell r="I684" t="e">
            <v>#N/A</v>
          </cell>
        </row>
        <row r="685">
          <cell r="A685">
            <v>23528</v>
          </cell>
          <cell r="B685" t="e">
            <v>#N/A</v>
          </cell>
          <cell r="C685">
            <v>58.7</v>
          </cell>
          <cell r="D685" t="e">
            <v>#N/A</v>
          </cell>
          <cell r="E685" t="e">
            <v>#N/A</v>
          </cell>
          <cell r="F685" t="e">
            <v>#N/A</v>
          </cell>
          <cell r="G685" t="e">
            <v>#N/A</v>
          </cell>
          <cell r="H685" t="e">
            <v>#N/A</v>
          </cell>
          <cell r="I685" t="e">
            <v>#N/A</v>
          </cell>
        </row>
        <row r="686">
          <cell r="A686">
            <v>23497</v>
          </cell>
          <cell r="B686" t="e">
            <v>#N/A</v>
          </cell>
          <cell r="C686">
            <v>59.2</v>
          </cell>
          <cell r="D686" t="e">
            <v>#N/A</v>
          </cell>
          <cell r="E686" t="e">
            <v>#N/A</v>
          </cell>
          <cell r="F686" t="e">
            <v>#N/A</v>
          </cell>
          <cell r="G686" t="e">
            <v>#N/A</v>
          </cell>
          <cell r="H686" t="e">
            <v>#N/A</v>
          </cell>
          <cell r="I686" t="e">
            <v>#N/A</v>
          </cell>
        </row>
        <row r="687">
          <cell r="A687">
            <v>23467</v>
          </cell>
          <cell r="B687" t="e">
            <v>#N/A</v>
          </cell>
          <cell r="C687">
            <v>60.2</v>
          </cell>
          <cell r="D687" t="e">
            <v>#N/A</v>
          </cell>
          <cell r="E687" t="e">
            <v>#N/A</v>
          </cell>
          <cell r="F687" t="e">
            <v>#N/A</v>
          </cell>
          <cell r="G687" t="e">
            <v>#N/A</v>
          </cell>
          <cell r="H687" t="e">
            <v>#N/A</v>
          </cell>
          <cell r="I687" t="e">
            <v>#N/A</v>
          </cell>
        </row>
        <row r="688">
          <cell r="A688">
            <v>23436</v>
          </cell>
          <cell r="B688" t="e">
            <v>#N/A</v>
          </cell>
          <cell r="C688">
            <v>57.9</v>
          </cell>
          <cell r="D688" t="e">
            <v>#N/A</v>
          </cell>
          <cell r="E688" t="e">
            <v>#N/A</v>
          </cell>
          <cell r="F688" t="e">
            <v>#N/A</v>
          </cell>
          <cell r="G688" t="e">
            <v>#N/A</v>
          </cell>
          <cell r="H688" t="e">
            <v>#N/A</v>
          </cell>
          <cell r="I688" t="e">
            <v>#N/A</v>
          </cell>
        </row>
        <row r="689">
          <cell r="A689">
            <v>23407</v>
          </cell>
          <cell r="B689" t="e">
            <v>#N/A</v>
          </cell>
          <cell r="C689">
            <v>57.1</v>
          </cell>
          <cell r="D689" t="e">
            <v>#N/A</v>
          </cell>
          <cell r="E689" t="e">
            <v>#N/A</v>
          </cell>
          <cell r="F689" t="e">
            <v>#N/A</v>
          </cell>
          <cell r="G689" t="e">
            <v>#N/A</v>
          </cell>
          <cell r="H689" t="e">
            <v>#N/A</v>
          </cell>
          <cell r="I689" t="e">
            <v>#N/A</v>
          </cell>
        </row>
        <row r="690">
          <cell r="A690">
            <v>23376</v>
          </cell>
          <cell r="B690" t="e">
            <v>#N/A</v>
          </cell>
          <cell r="C690">
            <v>54</v>
          </cell>
          <cell r="D690" t="e">
            <v>#N/A</v>
          </cell>
          <cell r="E690" t="e">
            <v>#N/A</v>
          </cell>
          <cell r="F690" t="e">
            <v>#N/A</v>
          </cell>
          <cell r="G690" t="e">
            <v>#N/A</v>
          </cell>
          <cell r="H690" t="e">
            <v>#N/A</v>
          </cell>
          <cell r="I690" t="e">
            <v>#N/A</v>
          </cell>
        </row>
        <row r="691">
          <cell r="A691">
            <v>23345</v>
          </cell>
          <cell r="B691" t="e">
            <v>#N/A</v>
          </cell>
          <cell r="C691">
            <v>57.5</v>
          </cell>
          <cell r="D691" t="e">
            <v>#N/A</v>
          </cell>
          <cell r="E691" t="e">
            <v>#N/A</v>
          </cell>
          <cell r="F691" t="e">
            <v>#N/A</v>
          </cell>
          <cell r="G691" t="e">
            <v>#N/A</v>
          </cell>
          <cell r="H691" t="e">
            <v>#N/A</v>
          </cell>
          <cell r="I691" t="e">
            <v>#N/A</v>
          </cell>
        </row>
        <row r="692">
          <cell r="A692">
            <v>23315</v>
          </cell>
          <cell r="B692" t="e">
            <v>#N/A</v>
          </cell>
          <cell r="C692">
            <v>57.7</v>
          </cell>
          <cell r="D692" t="e">
            <v>#N/A</v>
          </cell>
          <cell r="E692" t="e">
            <v>#N/A</v>
          </cell>
          <cell r="F692" t="e">
            <v>#N/A</v>
          </cell>
          <cell r="G692" t="e">
            <v>#N/A</v>
          </cell>
          <cell r="H692" t="e">
            <v>#N/A</v>
          </cell>
          <cell r="I692" t="e">
            <v>#N/A</v>
          </cell>
        </row>
        <row r="693">
          <cell r="A693">
            <v>23284</v>
          </cell>
          <cell r="B693" t="e">
            <v>#N/A</v>
          </cell>
          <cell r="C693">
            <v>56.9</v>
          </cell>
          <cell r="D693" t="e">
            <v>#N/A</v>
          </cell>
          <cell r="E693" t="e">
            <v>#N/A</v>
          </cell>
          <cell r="F693" t="e">
            <v>#N/A</v>
          </cell>
          <cell r="G693" t="e">
            <v>#N/A</v>
          </cell>
          <cell r="H693" t="e">
            <v>#N/A</v>
          </cell>
          <cell r="I693" t="e">
            <v>#N/A</v>
          </cell>
        </row>
        <row r="694">
          <cell r="A694">
            <v>23254</v>
          </cell>
          <cell r="B694" t="e">
            <v>#N/A</v>
          </cell>
          <cell r="C694">
            <v>55.1</v>
          </cell>
          <cell r="D694" t="e">
            <v>#N/A</v>
          </cell>
          <cell r="E694" t="e">
            <v>#N/A</v>
          </cell>
          <cell r="F694" t="e">
            <v>#N/A</v>
          </cell>
          <cell r="G694" t="e">
            <v>#N/A</v>
          </cell>
          <cell r="H694" t="e">
            <v>#N/A</v>
          </cell>
          <cell r="I694" t="e">
            <v>#N/A</v>
          </cell>
        </row>
        <row r="695">
          <cell r="A695">
            <v>23223</v>
          </cell>
          <cell r="B695" t="e">
            <v>#N/A</v>
          </cell>
          <cell r="C695">
            <v>55.5</v>
          </cell>
          <cell r="D695" t="e">
            <v>#N/A</v>
          </cell>
          <cell r="E695" t="e">
            <v>#N/A</v>
          </cell>
          <cell r="F695" t="e">
            <v>#N/A</v>
          </cell>
          <cell r="G695" t="e">
            <v>#N/A</v>
          </cell>
          <cell r="H695" t="e">
            <v>#N/A</v>
          </cell>
          <cell r="I695" t="e">
            <v>#N/A</v>
          </cell>
        </row>
        <row r="696">
          <cell r="A696">
            <v>23192</v>
          </cell>
          <cell r="B696" t="e">
            <v>#N/A</v>
          </cell>
          <cell r="C696">
            <v>58.2</v>
          </cell>
          <cell r="D696" t="e">
            <v>#N/A</v>
          </cell>
          <cell r="E696" t="e">
            <v>#N/A</v>
          </cell>
          <cell r="F696" t="e">
            <v>#N/A</v>
          </cell>
          <cell r="G696" t="e">
            <v>#N/A</v>
          </cell>
          <cell r="H696" t="e">
            <v>#N/A</v>
          </cell>
          <cell r="I696" t="e">
            <v>#N/A</v>
          </cell>
        </row>
        <row r="697">
          <cell r="A697">
            <v>23162</v>
          </cell>
          <cell r="B697" t="e">
            <v>#N/A</v>
          </cell>
          <cell r="C697">
            <v>59.8</v>
          </cell>
          <cell r="D697" t="e">
            <v>#N/A</v>
          </cell>
          <cell r="E697" t="e">
            <v>#N/A</v>
          </cell>
          <cell r="F697" t="e">
            <v>#N/A</v>
          </cell>
          <cell r="G697" t="e">
            <v>#N/A</v>
          </cell>
          <cell r="H697" t="e">
            <v>#N/A</v>
          </cell>
          <cell r="I697" t="e">
            <v>#N/A</v>
          </cell>
        </row>
        <row r="698">
          <cell r="A698">
            <v>23131</v>
          </cell>
          <cell r="B698" t="e">
            <v>#N/A</v>
          </cell>
          <cell r="C698">
            <v>57.6</v>
          </cell>
          <cell r="D698" t="e">
            <v>#N/A</v>
          </cell>
          <cell r="E698" t="e">
            <v>#N/A</v>
          </cell>
          <cell r="F698" t="e">
            <v>#N/A</v>
          </cell>
          <cell r="G698" t="e">
            <v>#N/A</v>
          </cell>
          <cell r="H698" t="e">
            <v>#N/A</v>
          </cell>
          <cell r="I698" t="e">
            <v>#N/A</v>
          </cell>
        </row>
        <row r="699">
          <cell r="A699">
            <v>23101</v>
          </cell>
          <cell r="B699" t="e">
            <v>#N/A</v>
          </cell>
          <cell r="C699">
            <v>54.7</v>
          </cell>
          <cell r="D699" t="e">
            <v>#N/A</v>
          </cell>
          <cell r="E699" t="e">
            <v>#N/A</v>
          </cell>
          <cell r="F699" t="e">
            <v>#N/A</v>
          </cell>
          <cell r="G699" t="e">
            <v>#N/A</v>
          </cell>
          <cell r="H699" t="e">
            <v>#N/A</v>
          </cell>
          <cell r="I699" t="e">
            <v>#N/A</v>
          </cell>
        </row>
        <row r="700">
          <cell r="A700">
            <v>23070</v>
          </cell>
          <cell r="B700" t="e">
            <v>#N/A</v>
          </cell>
          <cell r="C700">
            <v>55.1</v>
          </cell>
          <cell r="D700" t="e">
            <v>#N/A</v>
          </cell>
          <cell r="E700" t="e">
            <v>#N/A</v>
          </cell>
          <cell r="F700" t="e">
            <v>#N/A</v>
          </cell>
          <cell r="G700" t="e">
            <v>#N/A</v>
          </cell>
          <cell r="H700" t="e">
            <v>#N/A</v>
          </cell>
          <cell r="I700" t="e">
            <v>#N/A</v>
          </cell>
        </row>
        <row r="701">
          <cell r="A701">
            <v>23042</v>
          </cell>
          <cell r="B701" t="e">
            <v>#N/A</v>
          </cell>
          <cell r="C701">
            <v>55.2</v>
          </cell>
          <cell r="D701" t="e">
            <v>#N/A</v>
          </cell>
          <cell r="E701" t="e">
            <v>#N/A</v>
          </cell>
          <cell r="F701" t="e">
            <v>#N/A</v>
          </cell>
          <cell r="G701" t="e">
            <v>#N/A</v>
          </cell>
          <cell r="H701" t="e">
            <v>#N/A</v>
          </cell>
          <cell r="I701" t="e">
            <v>#N/A</v>
          </cell>
        </row>
        <row r="702">
          <cell r="A702">
            <v>23011</v>
          </cell>
          <cell r="B702" t="e">
            <v>#N/A</v>
          </cell>
          <cell r="C702">
            <v>57.2</v>
          </cell>
          <cell r="D702" t="e">
            <v>#N/A</v>
          </cell>
          <cell r="E702" t="e">
            <v>#N/A</v>
          </cell>
          <cell r="F702" t="e">
            <v>#N/A</v>
          </cell>
          <cell r="G702" t="e">
            <v>#N/A</v>
          </cell>
          <cell r="H702" t="e">
            <v>#N/A</v>
          </cell>
          <cell r="I702" t="e">
            <v>#N/A</v>
          </cell>
        </row>
        <row r="703">
          <cell r="A703">
            <v>22980</v>
          </cell>
          <cell r="B703" t="e">
            <v>#N/A</v>
          </cell>
          <cell r="C703">
            <v>53.8</v>
          </cell>
          <cell r="D703" t="e">
            <v>#N/A</v>
          </cell>
          <cell r="E703" t="e">
            <v>#N/A</v>
          </cell>
          <cell r="F703" t="e">
            <v>#N/A</v>
          </cell>
          <cell r="G703" t="e">
            <v>#N/A</v>
          </cell>
          <cell r="H703" t="e">
            <v>#N/A</v>
          </cell>
          <cell r="I703" t="e">
            <v>#N/A</v>
          </cell>
        </row>
        <row r="704">
          <cell r="A704">
            <v>22950</v>
          </cell>
          <cell r="B704" t="e">
            <v>#N/A</v>
          </cell>
          <cell r="C704">
            <v>51.2</v>
          </cell>
          <cell r="D704" t="e">
            <v>#N/A</v>
          </cell>
          <cell r="E704" t="e">
            <v>#N/A</v>
          </cell>
          <cell r="F704" t="e">
            <v>#N/A</v>
          </cell>
          <cell r="G704" t="e">
            <v>#N/A</v>
          </cell>
          <cell r="H704" t="e">
            <v>#N/A</v>
          </cell>
          <cell r="I704" t="e">
            <v>#N/A</v>
          </cell>
        </row>
        <row r="705">
          <cell r="A705">
            <v>22919</v>
          </cell>
          <cell r="B705" t="e">
            <v>#N/A</v>
          </cell>
          <cell r="C705">
            <v>50</v>
          </cell>
          <cell r="D705" t="e">
            <v>#N/A</v>
          </cell>
          <cell r="E705" t="e">
            <v>#N/A</v>
          </cell>
          <cell r="F705" t="e">
            <v>#N/A</v>
          </cell>
          <cell r="G705" t="e">
            <v>#N/A</v>
          </cell>
          <cell r="H705" t="e">
            <v>#N/A</v>
          </cell>
          <cell r="I705" t="e">
            <v>#N/A</v>
          </cell>
        </row>
        <row r="706">
          <cell r="A706">
            <v>22889</v>
          </cell>
          <cell r="B706" t="e">
            <v>#N/A</v>
          </cell>
          <cell r="C706">
            <v>49.5</v>
          </cell>
          <cell r="D706" t="e">
            <v>#N/A</v>
          </cell>
          <cell r="E706" t="e">
            <v>#N/A</v>
          </cell>
          <cell r="F706" t="e">
            <v>#N/A</v>
          </cell>
          <cell r="G706" t="e">
            <v>#N/A</v>
          </cell>
          <cell r="H706" t="e">
            <v>#N/A</v>
          </cell>
          <cell r="I706" t="e">
            <v>#N/A</v>
          </cell>
        </row>
        <row r="707">
          <cell r="A707">
            <v>22858</v>
          </cell>
          <cell r="B707" t="e">
            <v>#N/A</v>
          </cell>
          <cell r="C707">
            <v>51</v>
          </cell>
          <cell r="D707" t="e">
            <v>#N/A</v>
          </cell>
          <cell r="E707" t="e">
            <v>#N/A</v>
          </cell>
          <cell r="F707" t="e">
            <v>#N/A</v>
          </cell>
          <cell r="G707" t="e">
            <v>#N/A</v>
          </cell>
          <cell r="H707" t="e">
            <v>#N/A</v>
          </cell>
          <cell r="I707" t="e">
            <v>#N/A</v>
          </cell>
        </row>
        <row r="708">
          <cell r="A708">
            <v>22827</v>
          </cell>
          <cell r="B708" t="e">
            <v>#N/A</v>
          </cell>
          <cell r="C708">
            <v>50.8</v>
          </cell>
          <cell r="D708" t="e">
            <v>#N/A</v>
          </cell>
          <cell r="E708" t="e">
            <v>#N/A</v>
          </cell>
          <cell r="F708" t="e">
            <v>#N/A</v>
          </cell>
          <cell r="G708" t="e">
            <v>#N/A</v>
          </cell>
          <cell r="H708" t="e">
            <v>#N/A</v>
          </cell>
          <cell r="I708" t="e">
            <v>#N/A</v>
          </cell>
        </row>
        <row r="709">
          <cell r="A709">
            <v>22797</v>
          </cell>
          <cell r="B709" t="e">
            <v>#N/A</v>
          </cell>
          <cell r="C709">
            <v>52.2</v>
          </cell>
          <cell r="D709" t="e">
            <v>#N/A</v>
          </cell>
          <cell r="E709" t="e">
            <v>#N/A</v>
          </cell>
          <cell r="F709" t="e">
            <v>#N/A</v>
          </cell>
          <cell r="G709" t="e">
            <v>#N/A</v>
          </cell>
          <cell r="H709" t="e">
            <v>#N/A</v>
          </cell>
          <cell r="I709" t="e">
            <v>#N/A</v>
          </cell>
        </row>
        <row r="710">
          <cell r="A710">
            <v>22766</v>
          </cell>
          <cell r="B710" t="e">
            <v>#N/A</v>
          </cell>
          <cell r="C710">
            <v>55.1</v>
          </cell>
          <cell r="D710" t="e">
            <v>#N/A</v>
          </cell>
          <cell r="E710" t="e">
            <v>#N/A</v>
          </cell>
          <cell r="F710" t="e">
            <v>#N/A</v>
          </cell>
          <cell r="G710" t="e">
            <v>#N/A</v>
          </cell>
          <cell r="H710" t="e">
            <v>#N/A</v>
          </cell>
          <cell r="I710" t="e">
            <v>#N/A</v>
          </cell>
        </row>
        <row r="711">
          <cell r="A711">
            <v>22736</v>
          </cell>
          <cell r="B711" t="e">
            <v>#N/A</v>
          </cell>
          <cell r="C711">
            <v>60.6</v>
          </cell>
          <cell r="D711" t="e">
            <v>#N/A</v>
          </cell>
          <cell r="E711" t="e">
            <v>#N/A</v>
          </cell>
          <cell r="F711" t="e">
            <v>#N/A</v>
          </cell>
          <cell r="G711" t="e">
            <v>#N/A</v>
          </cell>
          <cell r="H711" t="e">
            <v>#N/A</v>
          </cell>
          <cell r="I711" t="e">
            <v>#N/A</v>
          </cell>
        </row>
        <row r="712">
          <cell r="A712">
            <v>22705</v>
          </cell>
          <cell r="B712" t="e">
            <v>#N/A</v>
          </cell>
          <cell r="C712">
            <v>61.1</v>
          </cell>
          <cell r="D712" t="e">
            <v>#N/A</v>
          </cell>
          <cell r="E712" t="e">
            <v>#N/A</v>
          </cell>
          <cell r="F712" t="e">
            <v>#N/A</v>
          </cell>
          <cell r="G712" t="e">
            <v>#N/A</v>
          </cell>
          <cell r="H712" t="e">
            <v>#N/A</v>
          </cell>
          <cell r="I712" t="e">
            <v>#N/A</v>
          </cell>
        </row>
        <row r="713">
          <cell r="A713">
            <v>22677</v>
          </cell>
          <cell r="B713" t="e">
            <v>#N/A</v>
          </cell>
          <cell r="C713">
            <v>60.9</v>
          </cell>
          <cell r="D713" t="e">
            <v>#N/A</v>
          </cell>
          <cell r="E713" t="e">
            <v>#N/A</v>
          </cell>
          <cell r="F713" t="e">
            <v>#N/A</v>
          </cell>
          <cell r="G713" t="e">
            <v>#N/A</v>
          </cell>
          <cell r="H713" t="e">
            <v>#N/A</v>
          </cell>
          <cell r="I713" t="e">
            <v>#N/A</v>
          </cell>
        </row>
        <row r="714">
          <cell r="A714">
            <v>22646</v>
          </cell>
          <cell r="B714" t="e">
            <v>#N/A</v>
          </cell>
          <cell r="C714">
            <v>64.2</v>
          </cell>
          <cell r="D714" t="e">
            <v>#N/A</v>
          </cell>
          <cell r="E714" t="e">
            <v>#N/A</v>
          </cell>
          <cell r="F714" t="e">
            <v>#N/A</v>
          </cell>
          <cell r="G714" t="e">
            <v>#N/A</v>
          </cell>
          <cell r="H714" t="e">
            <v>#N/A</v>
          </cell>
          <cell r="I714" t="e">
            <v>#N/A</v>
          </cell>
        </row>
        <row r="715">
          <cell r="A715">
            <v>22615</v>
          </cell>
          <cell r="B715" t="e">
            <v>#N/A</v>
          </cell>
          <cell r="C715">
            <v>59</v>
          </cell>
          <cell r="D715" t="e">
            <v>#N/A</v>
          </cell>
          <cell r="E715" t="e">
            <v>#N/A</v>
          </cell>
          <cell r="F715" t="e">
            <v>#N/A</v>
          </cell>
          <cell r="G715" t="e">
            <v>#N/A</v>
          </cell>
          <cell r="H715" t="e">
            <v>#N/A</v>
          </cell>
          <cell r="I715" t="e">
            <v>#N/A</v>
          </cell>
        </row>
        <row r="716">
          <cell r="A716">
            <v>22585</v>
          </cell>
          <cell r="B716" t="e">
            <v>#N/A</v>
          </cell>
          <cell r="C716">
            <v>62.2</v>
          </cell>
          <cell r="D716" t="e">
            <v>#N/A</v>
          </cell>
          <cell r="E716" t="e">
            <v>#N/A</v>
          </cell>
          <cell r="F716" t="e">
            <v>#N/A</v>
          </cell>
          <cell r="G716" t="e">
            <v>#N/A</v>
          </cell>
          <cell r="H716" t="e">
            <v>#N/A</v>
          </cell>
          <cell r="I716" t="e">
            <v>#N/A</v>
          </cell>
        </row>
        <row r="717">
          <cell r="A717">
            <v>22554</v>
          </cell>
          <cell r="B717" t="e">
            <v>#N/A</v>
          </cell>
          <cell r="C717">
            <v>63</v>
          </cell>
          <cell r="D717" t="e">
            <v>#N/A</v>
          </cell>
          <cell r="E717" t="e">
            <v>#N/A</v>
          </cell>
          <cell r="F717" t="e">
            <v>#N/A</v>
          </cell>
          <cell r="G717" t="e">
            <v>#N/A</v>
          </cell>
          <cell r="H717" t="e">
            <v>#N/A</v>
          </cell>
          <cell r="I717" t="e">
            <v>#N/A</v>
          </cell>
        </row>
        <row r="718">
          <cell r="A718">
            <v>22524</v>
          </cell>
          <cell r="B718" t="e">
            <v>#N/A</v>
          </cell>
          <cell r="C718">
            <v>60.7</v>
          </cell>
          <cell r="D718" t="e">
            <v>#N/A</v>
          </cell>
          <cell r="E718" t="e">
            <v>#N/A</v>
          </cell>
          <cell r="F718" t="e">
            <v>#N/A</v>
          </cell>
          <cell r="G718" t="e">
            <v>#N/A</v>
          </cell>
          <cell r="H718" t="e">
            <v>#N/A</v>
          </cell>
          <cell r="I718" t="e">
            <v>#N/A</v>
          </cell>
        </row>
        <row r="719">
          <cell r="A719">
            <v>22493</v>
          </cell>
          <cell r="B719" t="e">
            <v>#N/A</v>
          </cell>
          <cell r="C719">
            <v>58.2</v>
          </cell>
          <cell r="D719" t="e">
            <v>#N/A</v>
          </cell>
          <cell r="E719" t="e">
            <v>#N/A</v>
          </cell>
          <cell r="F719" t="e">
            <v>#N/A</v>
          </cell>
          <cell r="G719" t="e">
            <v>#N/A</v>
          </cell>
          <cell r="H719" t="e">
            <v>#N/A</v>
          </cell>
          <cell r="I719" t="e">
            <v>#N/A</v>
          </cell>
        </row>
        <row r="720">
          <cell r="A720">
            <v>22462</v>
          </cell>
          <cell r="B720" t="e">
            <v>#N/A</v>
          </cell>
          <cell r="C720">
            <v>58.1</v>
          </cell>
          <cell r="D720" t="e">
            <v>#N/A</v>
          </cell>
          <cell r="E720" t="e">
            <v>#N/A</v>
          </cell>
          <cell r="F720" t="e">
            <v>#N/A</v>
          </cell>
          <cell r="G720" t="e">
            <v>#N/A</v>
          </cell>
          <cell r="H720" t="e">
            <v>#N/A</v>
          </cell>
          <cell r="I720" t="e">
            <v>#N/A</v>
          </cell>
        </row>
        <row r="721">
          <cell r="A721">
            <v>22432</v>
          </cell>
          <cell r="B721" t="e">
            <v>#N/A</v>
          </cell>
          <cell r="C721">
            <v>58.9</v>
          </cell>
          <cell r="D721" t="e">
            <v>#N/A</v>
          </cell>
          <cell r="E721" t="e">
            <v>#N/A</v>
          </cell>
          <cell r="F721" t="e">
            <v>#N/A</v>
          </cell>
          <cell r="G721" t="e">
            <v>#N/A</v>
          </cell>
          <cell r="H721" t="e">
            <v>#N/A</v>
          </cell>
          <cell r="I721" t="e">
            <v>#N/A</v>
          </cell>
        </row>
        <row r="722">
          <cell r="A722">
            <v>22401</v>
          </cell>
          <cell r="B722" t="e">
            <v>#N/A</v>
          </cell>
          <cell r="C722">
            <v>57.6</v>
          </cell>
          <cell r="D722" t="e">
            <v>#N/A</v>
          </cell>
          <cell r="E722" t="e">
            <v>#N/A</v>
          </cell>
          <cell r="F722" t="e">
            <v>#N/A</v>
          </cell>
          <cell r="G722" t="e">
            <v>#N/A</v>
          </cell>
          <cell r="H722" t="e">
            <v>#N/A</v>
          </cell>
          <cell r="I722" t="e">
            <v>#N/A</v>
          </cell>
        </row>
        <row r="723">
          <cell r="A723">
            <v>22371</v>
          </cell>
          <cell r="B723" t="e">
            <v>#N/A</v>
          </cell>
          <cell r="C723">
            <v>49.1</v>
          </cell>
          <cell r="D723" t="e">
            <v>#N/A</v>
          </cell>
          <cell r="E723" t="e">
            <v>#N/A</v>
          </cell>
          <cell r="F723" t="e">
            <v>#N/A</v>
          </cell>
          <cell r="G723" t="e">
            <v>#N/A</v>
          </cell>
          <cell r="H723" t="e">
            <v>#N/A</v>
          </cell>
          <cell r="I723" t="e">
            <v>#N/A</v>
          </cell>
        </row>
        <row r="724">
          <cell r="A724">
            <v>22340</v>
          </cell>
          <cell r="B724" t="e">
            <v>#N/A</v>
          </cell>
          <cell r="C724">
            <v>43.6</v>
          </cell>
          <cell r="D724" t="e">
            <v>#N/A</v>
          </cell>
          <cell r="E724" t="e">
            <v>#N/A</v>
          </cell>
          <cell r="F724" t="e">
            <v>#N/A</v>
          </cell>
          <cell r="G724" t="e">
            <v>#N/A</v>
          </cell>
          <cell r="H724" t="e">
            <v>#N/A</v>
          </cell>
          <cell r="I724" t="e">
            <v>#N/A</v>
          </cell>
        </row>
        <row r="725">
          <cell r="A725">
            <v>22312</v>
          </cell>
          <cell r="B725" t="e">
            <v>#N/A</v>
          </cell>
          <cell r="C725">
            <v>43.9</v>
          </cell>
          <cell r="D725" t="e">
            <v>#N/A</v>
          </cell>
          <cell r="E725" t="e">
            <v>#N/A</v>
          </cell>
          <cell r="F725" t="e">
            <v>#N/A</v>
          </cell>
          <cell r="G725" t="e">
            <v>#N/A</v>
          </cell>
          <cell r="H725" t="e">
            <v>#N/A</v>
          </cell>
          <cell r="I725" t="e">
            <v>#N/A</v>
          </cell>
        </row>
        <row r="726">
          <cell r="A726">
            <v>22281</v>
          </cell>
          <cell r="B726" t="e">
            <v>#N/A</v>
          </cell>
          <cell r="C726">
            <v>44.3</v>
          </cell>
          <cell r="D726" t="e">
            <v>#N/A</v>
          </cell>
          <cell r="E726" t="e">
            <v>#N/A</v>
          </cell>
          <cell r="F726" t="e">
            <v>#N/A</v>
          </cell>
          <cell r="G726" t="e">
            <v>#N/A</v>
          </cell>
          <cell r="H726" t="e">
            <v>#N/A</v>
          </cell>
          <cell r="I726" t="e">
            <v>#N/A</v>
          </cell>
        </row>
        <row r="727">
          <cell r="A727">
            <v>22250</v>
          </cell>
          <cell r="B727" t="e">
            <v>#N/A</v>
          </cell>
          <cell r="C727">
            <v>44.3</v>
          </cell>
          <cell r="D727" t="e">
            <v>#N/A</v>
          </cell>
          <cell r="E727" t="e">
            <v>#N/A</v>
          </cell>
          <cell r="F727" t="e">
            <v>#N/A</v>
          </cell>
          <cell r="G727" t="e">
            <v>#N/A</v>
          </cell>
          <cell r="H727" t="e">
            <v>#N/A</v>
          </cell>
          <cell r="I727" t="e">
            <v>#N/A</v>
          </cell>
        </row>
        <row r="728">
          <cell r="A728">
            <v>22220</v>
          </cell>
          <cell r="B728" t="e">
            <v>#N/A</v>
          </cell>
          <cell r="C728">
            <v>46</v>
          </cell>
          <cell r="D728" t="e">
            <v>#N/A</v>
          </cell>
          <cell r="E728" t="e">
            <v>#N/A</v>
          </cell>
          <cell r="F728" t="e">
            <v>#N/A</v>
          </cell>
          <cell r="G728" t="e">
            <v>#N/A</v>
          </cell>
          <cell r="H728" t="e">
            <v>#N/A</v>
          </cell>
          <cell r="I728" t="e">
            <v>#N/A</v>
          </cell>
        </row>
        <row r="729">
          <cell r="A729">
            <v>22189</v>
          </cell>
          <cell r="B729" t="e">
            <v>#N/A</v>
          </cell>
          <cell r="C729">
            <v>45.4</v>
          </cell>
          <cell r="D729" t="e">
            <v>#N/A</v>
          </cell>
          <cell r="E729" t="e">
            <v>#N/A</v>
          </cell>
          <cell r="F729" t="e">
            <v>#N/A</v>
          </cell>
          <cell r="G729" t="e">
            <v>#N/A</v>
          </cell>
          <cell r="H729" t="e">
            <v>#N/A</v>
          </cell>
          <cell r="I729" t="e">
            <v>#N/A</v>
          </cell>
        </row>
        <row r="730">
          <cell r="A730">
            <v>22159</v>
          </cell>
          <cell r="B730" t="e">
            <v>#N/A</v>
          </cell>
          <cell r="C730">
            <v>47.6</v>
          </cell>
          <cell r="D730" t="e">
            <v>#N/A</v>
          </cell>
          <cell r="E730" t="e">
            <v>#N/A</v>
          </cell>
          <cell r="F730" t="e">
            <v>#N/A</v>
          </cell>
          <cell r="G730" t="e">
            <v>#N/A</v>
          </cell>
          <cell r="H730" t="e">
            <v>#N/A</v>
          </cell>
          <cell r="I730" t="e">
            <v>#N/A</v>
          </cell>
        </row>
        <row r="731">
          <cell r="A731">
            <v>22128</v>
          </cell>
          <cell r="B731" t="e">
            <v>#N/A</v>
          </cell>
          <cell r="C731">
            <v>43.7</v>
          </cell>
          <cell r="D731" t="e">
            <v>#N/A</v>
          </cell>
          <cell r="E731" t="e">
            <v>#N/A</v>
          </cell>
          <cell r="F731" t="e">
            <v>#N/A</v>
          </cell>
          <cell r="G731" t="e">
            <v>#N/A</v>
          </cell>
          <cell r="H731" t="e">
            <v>#N/A</v>
          </cell>
          <cell r="I731" t="e">
            <v>#N/A</v>
          </cell>
        </row>
        <row r="732">
          <cell r="A732">
            <v>22097</v>
          </cell>
          <cell r="B732" t="e">
            <v>#N/A</v>
          </cell>
          <cell r="C732">
            <v>44.4</v>
          </cell>
          <cell r="D732" t="e">
            <v>#N/A</v>
          </cell>
          <cell r="E732" t="e">
            <v>#N/A</v>
          </cell>
          <cell r="F732" t="e">
            <v>#N/A</v>
          </cell>
          <cell r="G732" t="e">
            <v>#N/A</v>
          </cell>
          <cell r="H732" t="e">
            <v>#N/A</v>
          </cell>
          <cell r="I732" t="e">
            <v>#N/A</v>
          </cell>
        </row>
        <row r="733">
          <cell r="A733">
            <v>22067</v>
          </cell>
          <cell r="B733" t="e">
            <v>#N/A</v>
          </cell>
          <cell r="C733">
            <v>42.6</v>
          </cell>
          <cell r="D733" t="e">
            <v>#N/A</v>
          </cell>
          <cell r="E733" t="e">
            <v>#N/A</v>
          </cell>
          <cell r="F733" t="e">
            <v>#N/A</v>
          </cell>
          <cell r="G733" t="e">
            <v>#N/A</v>
          </cell>
          <cell r="H733" t="e">
            <v>#N/A</v>
          </cell>
          <cell r="I733" t="e">
            <v>#N/A</v>
          </cell>
        </row>
        <row r="734">
          <cell r="A734">
            <v>22036</v>
          </cell>
          <cell r="B734" t="e">
            <v>#N/A</v>
          </cell>
          <cell r="C734">
            <v>45.3</v>
          </cell>
          <cell r="D734" t="e">
            <v>#N/A</v>
          </cell>
          <cell r="E734" t="e">
            <v>#N/A</v>
          </cell>
          <cell r="F734" t="e">
            <v>#N/A</v>
          </cell>
          <cell r="G734" t="e">
            <v>#N/A</v>
          </cell>
          <cell r="H734" t="e">
            <v>#N/A</v>
          </cell>
          <cell r="I734" t="e">
            <v>#N/A</v>
          </cell>
        </row>
        <row r="735">
          <cell r="A735">
            <v>22006</v>
          </cell>
          <cell r="B735" t="e">
            <v>#N/A</v>
          </cell>
          <cell r="C735">
            <v>47.8</v>
          </cell>
          <cell r="D735" t="e">
            <v>#N/A</v>
          </cell>
          <cell r="E735" t="e">
            <v>#N/A</v>
          </cell>
          <cell r="F735" t="e">
            <v>#N/A</v>
          </cell>
          <cell r="G735" t="e">
            <v>#N/A</v>
          </cell>
          <cell r="H735" t="e">
            <v>#N/A</v>
          </cell>
          <cell r="I735" t="e">
            <v>#N/A</v>
          </cell>
        </row>
        <row r="736">
          <cell r="A736">
            <v>21975</v>
          </cell>
          <cell r="B736" t="e">
            <v>#N/A</v>
          </cell>
          <cell r="C736">
            <v>52.3</v>
          </cell>
          <cell r="D736" t="e">
            <v>#N/A</v>
          </cell>
          <cell r="E736" t="e">
            <v>#N/A</v>
          </cell>
          <cell r="F736" t="e">
            <v>#N/A</v>
          </cell>
          <cell r="G736" t="e">
            <v>#N/A</v>
          </cell>
          <cell r="H736" t="e">
            <v>#N/A</v>
          </cell>
          <cell r="I736" t="e">
            <v>#N/A</v>
          </cell>
        </row>
        <row r="737">
          <cell r="A737">
            <v>21946</v>
          </cell>
          <cell r="B737" t="e">
            <v>#N/A</v>
          </cell>
          <cell r="C737">
            <v>61.5</v>
          </cell>
          <cell r="D737" t="e">
            <v>#N/A</v>
          </cell>
          <cell r="E737" t="e">
            <v>#N/A</v>
          </cell>
          <cell r="F737" t="e">
            <v>#N/A</v>
          </cell>
          <cell r="G737" t="e">
            <v>#N/A</v>
          </cell>
          <cell r="H737" t="e">
            <v>#N/A</v>
          </cell>
          <cell r="I737" t="e">
            <v>#N/A</v>
          </cell>
        </row>
        <row r="738">
          <cell r="A738">
            <v>21915</v>
          </cell>
          <cell r="B738" t="e">
            <v>#N/A</v>
          </cell>
          <cell r="C738">
            <v>58.2</v>
          </cell>
          <cell r="D738" t="e">
            <v>#N/A</v>
          </cell>
          <cell r="E738" t="e">
            <v>#N/A</v>
          </cell>
          <cell r="F738" t="e">
            <v>#N/A</v>
          </cell>
          <cell r="G738" t="e">
            <v>#N/A</v>
          </cell>
          <cell r="H738" t="e">
            <v>#N/A</v>
          </cell>
          <cell r="I738" t="e">
            <v>#N/A</v>
          </cell>
        </row>
        <row r="739">
          <cell r="A739">
            <v>21884</v>
          </cell>
          <cell r="B739" t="e">
            <v>#N/A</v>
          </cell>
          <cell r="C739">
            <v>50.6</v>
          </cell>
          <cell r="D739" t="e">
            <v>#N/A</v>
          </cell>
          <cell r="E739" t="e">
            <v>#N/A</v>
          </cell>
          <cell r="F739" t="e">
            <v>#N/A</v>
          </cell>
          <cell r="G739" t="e">
            <v>#N/A</v>
          </cell>
          <cell r="H739" t="e">
            <v>#N/A</v>
          </cell>
          <cell r="I739" t="e">
            <v>#N/A</v>
          </cell>
        </row>
        <row r="740">
          <cell r="A740">
            <v>21854</v>
          </cell>
          <cell r="B740" t="e">
            <v>#N/A</v>
          </cell>
          <cell r="C740">
            <v>49.7</v>
          </cell>
          <cell r="D740" t="e">
            <v>#N/A</v>
          </cell>
          <cell r="E740" t="e">
            <v>#N/A</v>
          </cell>
          <cell r="F740" t="e">
            <v>#N/A</v>
          </cell>
          <cell r="G740" t="e">
            <v>#N/A</v>
          </cell>
          <cell r="H740" t="e">
            <v>#N/A</v>
          </cell>
          <cell r="I740" t="e">
            <v>#N/A</v>
          </cell>
        </row>
        <row r="741">
          <cell r="A741">
            <v>21823</v>
          </cell>
          <cell r="B741" t="e">
            <v>#N/A</v>
          </cell>
          <cell r="C741">
            <v>48.3</v>
          </cell>
          <cell r="D741" t="e">
            <v>#N/A</v>
          </cell>
          <cell r="E741" t="e">
            <v>#N/A</v>
          </cell>
          <cell r="F741" t="e">
            <v>#N/A</v>
          </cell>
          <cell r="G741" t="e">
            <v>#N/A</v>
          </cell>
          <cell r="H741" t="e">
            <v>#N/A</v>
          </cell>
          <cell r="I741" t="e">
            <v>#N/A</v>
          </cell>
        </row>
        <row r="742">
          <cell r="A742">
            <v>21793</v>
          </cell>
          <cell r="B742" t="e">
            <v>#N/A</v>
          </cell>
          <cell r="C742">
            <v>55.1</v>
          </cell>
          <cell r="D742" t="e">
            <v>#N/A</v>
          </cell>
          <cell r="E742" t="e">
            <v>#N/A</v>
          </cell>
          <cell r="F742" t="e">
            <v>#N/A</v>
          </cell>
          <cell r="G742" t="e">
            <v>#N/A</v>
          </cell>
          <cell r="H742" t="e">
            <v>#N/A</v>
          </cell>
          <cell r="I742" t="e">
            <v>#N/A</v>
          </cell>
        </row>
        <row r="743">
          <cell r="A743">
            <v>21762</v>
          </cell>
          <cell r="B743" t="e">
            <v>#N/A</v>
          </cell>
          <cell r="C743">
            <v>61.5</v>
          </cell>
          <cell r="D743" t="e">
            <v>#N/A</v>
          </cell>
          <cell r="E743" t="e">
            <v>#N/A</v>
          </cell>
          <cell r="F743" t="e">
            <v>#N/A</v>
          </cell>
          <cell r="G743" t="e">
            <v>#N/A</v>
          </cell>
          <cell r="H743" t="e">
            <v>#N/A</v>
          </cell>
          <cell r="I743" t="e">
            <v>#N/A</v>
          </cell>
        </row>
        <row r="744">
          <cell r="A744">
            <v>21731</v>
          </cell>
          <cell r="B744" t="e">
            <v>#N/A</v>
          </cell>
          <cell r="C744">
            <v>64.400000000000006</v>
          </cell>
          <cell r="D744" t="e">
            <v>#N/A</v>
          </cell>
          <cell r="E744" t="e">
            <v>#N/A</v>
          </cell>
          <cell r="F744" t="e">
            <v>#N/A</v>
          </cell>
          <cell r="G744" t="e">
            <v>#N/A</v>
          </cell>
          <cell r="H744" t="e">
            <v>#N/A</v>
          </cell>
          <cell r="I744" t="e">
            <v>#N/A</v>
          </cell>
        </row>
        <row r="745">
          <cell r="A745">
            <v>21701</v>
          </cell>
          <cell r="B745" t="e">
            <v>#N/A</v>
          </cell>
          <cell r="C745">
            <v>68.2</v>
          </cell>
          <cell r="D745" t="e">
            <v>#N/A</v>
          </cell>
          <cell r="E745" t="e">
            <v>#N/A</v>
          </cell>
          <cell r="F745" t="e">
            <v>#N/A</v>
          </cell>
          <cell r="G745" t="e">
            <v>#N/A</v>
          </cell>
          <cell r="H745" t="e">
            <v>#N/A</v>
          </cell>
          <cell r="I745" t="e">
            <v>#N/A</v>
          </cell>
        </row>
        <row r="746">
          <cell r="A746">
            <v>21670</v>
          </cell>
          <cell r="B746" t="e">
            <v>#N/A</v>
          </cell>
          <cell r="C746">
            <v>66.900000000000006</v>
          </cell>
          <cell r="D746" t="e">
            <v>#N/A</v>
          </cell>
          <cell r="E746" t="e">
            <v>#N/A</v>
          </cell>
          <cell r="F746" t="e">
            <v>#N/A</v>
          </cell>
          <cell r="G746" t="e">
            <v>#N/A</v>
          </cell>
          <cell r="H746" t="e">
            <v>#N/A</v>
          </cell>
          <cell r="I746" t="e">
            <v>#N/A</v>
          </cell>
        </row>
        <row r="747">
          <cell r="A747">
            <v>21640</v>
          </cell>
          <cell r="B747" t="e">
            <v>#N/A</v>
          </cell>
          <cell r="C747">
            <v>67.099999999999994</v>
          </cell>
          <cell r="D747" t="e">
            <v>#N/A</v>
          </cell>
          <cell r="E747" t="e">
            <v>#N/A</v>
          </cell>
          <cell r="F747" t="e">
            <v>#N/A</v>
          </cell>
          <cell r="G747" t="e">
            <v>#N/A</v>
          </cell>
          <cell r="H747" t="e">
            <v>#N/A</v>
          </cell>
          <cell r="I747" t="e">
            <v>#N/A</v>
          </cell>
        </row>
        <row r="748">
          <cell r="A748">
            <v>21609</v>
          </cell>
          <cell r="B748" t="e">
            <v>#N/A</v>
          </cell>
          <cell r="C748">
            <v>66.900000000000006</v>
          </cell>
          <cell r="D748" t="e">
            <v>#N/A</v>
          </cell>
          <cell r="E748" t="e">
            <v>#N/A</v>
          </cell>
          <cell r="F748" t="e">
            <v>#N/A</v>
          </cell>
          <cell r="G748" t="e">
            <v>#N/A</v>
          </cell>
          <cell r="H748" t="e">
            <v>#N/A</v>
          </cell>
          <cell r="I748" t="e">
            <v>#N/A</v>
          </cell>
        </row>
        <row r="749">
          <cell r="A749">
            <v>21581</v>
          </cell>
          <cell r="B749" t="e">
            <v>#N/A</v>
          </cell>
          <cell r="C749">
            <v>64.400000000000006</v>
          </cell>
          <cell r="D749" t="e">
            <v>#N/A</v>
          </cell>
          <cell r="E749" t="e">
            <v>#N/A</v>
          </cell>
          <cell r="F749" t="e">
            <v>#N/A</v>
          </cell>
          <cell r="G749" t="e">
            <v>#N/A</v>
          </cell>
          <cell r="H749" t="e">
            <v>#N/A</v>
          </cell>
          <cell r="I749" t="e">
            <v>#N/A</v>
          </cell>
        </row>
        <row r="750">
          <cell r="A750">
            <v>21550</v>
          </cell>
          <cell r="B750" t="e">
            <v>#N/A</v>
          </cell>
          <cell r="C750">
            <v>60.5</v>
          </cell>
          <cell r="D750" t="e">
            <v>#N/A</v>
          </cell>
          <cell r="E750" t="e">
            <v>#N/A</v>
          </cell>
          <cell r="F750" t="e">
            <v>#N/A</v>
          </cell>
          <cell r="G750" t="e">
            <v>#N/A</v>
          </cell>
          <cell r="H750" t="e">
            <v>#N/A</v>
          </cell>
          <cell r="I750" t="e">
            <v>#N/A</v>
          </cell>
        </row>
        <row r="751">
          <cell r="A751">
            <v>21519</v>
          </cell>
          <cell r="B751" t="e">
            <v>#N/A</v>
          </cell>
          <cell r="C751">
            <v>62.7</v>
          </cell>
          <cell r="D751" t="e">
            <v>#N/A</v>
          </cell>
          <cell r="E751" t="e">
            <v>#N/A</v>
          </cell>
          <cell r="F751" t="e">
            <v>#N/A</v>
          </cell>
          <cell r="G751" t="e">
            <v>#N/A</v>
          </cell>
          <cell r="H751" t="e">
            <v>#N/A</v>
          </cell>
          <cell r="I751" t="e">
            <v>#N/A</v>
          </cell>
        </row>
        <row r="752">
          <cell r="A752">
            <v>21489</v>
          </cell>
          <cell r="B752" t="e">
            <v>#N/A</v>
          </cell>
          <cell r="C752">
            <v>62.3</v>
          </cell>
          <cell r="D752" t="e">
            <v>#N/A</v>
          </cell>
          <cell r="E752" t="e">
            <v>#N/A</v>
          </cell>
          <cell r="F752" t="e">
            <v>#N/A</v>
          </cell>
          <cell r="G752" t="e">
            <v>#N/A</v>
          </cell>
          <cell r="H752" t="e">
            <v>#N/A</v>
          </cell>
          <cell r="I752" t="e">
            <v>#N/A</v>
          </cell>
        </row>
        <row r="753">
          <cell r="A753">
            <v>21458</v>
          </cell>
          <cell r="B753" t="e">
            <v>#N/A</v>
          </cell>
          <cell r="C753">
            <v>59.8</v>
          </cell>
          <cell r="D753" t="e">
            <v>#N/A</v>
          </cell>
          <cell r="E753" t="e">
            <v>#N/A</v>
          </cell>
          <cell r="F753" t="e">
            <v>#N/A</v>
          </cell>
          <cell r="G753" t="e">
            <v>#N/A</v>
          </cell>
          <cell r="H753" t="e">
            <v>#N/A</v>
          </cell>
          <cell r="I753" t="e">
            <v>#N/A</v>
          </cell>
        </row>
        <row r="754">
          <cell r="A754">
            <v>21428</v>
          </cell>
          <cell r="B754" t="e">
            <v>#N/A</v>
          </cell>
          <cell r="C754">
            <v>57.3</v>
          </cell>
          <cell r="D754" t="e">
            <v>#N/A</v>
          </cell>
          <cell r="E754" t="e">
            <v>#N/A</v>
          </cell>
          <cell r="F754" t="e">
            <v>#N/A</v>
          </cell>
          <cell r="G754" t="e">
            <v>#N/A</v>
          </cell>
          <cell r="H754" t="e">
            <v>#N/A</v>
          </cell>
          <cell r="I754" t="e">
            <v>#N/A</v>
          </cell>
        </row>
        <row r="755">
          <cell r="A755">
            <v>21397</v>
          </cell>
          <cell r="B755" t="e">
            <v>#N/A</v>
          </cell>
          <cell r="C755">
            <v>54.7</v>
          </cell>
          <cell r="D755" t="e">
            <v>#N/A</v>
          </cell>
          <cell r="E755" t="e">
            <v>#N/A</v>
          </cell>
          <cell r="F755" t="e">
            <v>#N/A</v>
          </cell>
          <cell r="G755" t="e">
            <v>#N/A</v>
          </cell>
          <cell r="H755" t="e">
            <v>#N/A</v>
          </cell>
          <cell r="I755" t="e">
            <v>#N/A</v>
          </cell>
        </row>
        <row r="756">
          <cell r="A756">
            <v>21366</v>
          </cell>
          <cell r="B756" t="e">
            <v>#N/A</v>
          </cell>
          <cell r="C756">
            <v>51.4</v>
          </cell>
          <cell r="D756" t="e">
            <v>#N/A</v>
          </cell>
          <cell r="E756" t="e">
            <v>#N/A</v>
          </cell>
          <cell r="F756" t="e">
            <v>#N/A</v>
          </cell>
          <cell r="G756" t="e">
            <v>#N/A</v>
          </cell>
          <cell r="H756" t="e">
            <v>#N/A</v>
          </cell>
          <cell r="I756" t="e">
            <v>#N/A</v>
          </cell>
        </row>
        <row r="757">
          <cell r="A757">
            <v>21336</v>
          </cell>
          <cell r="B757" t="e">
            <v>#N/A</v>
          </cell>
          <cell r="C757">
            <v>46.6</v>
          </cell>
          <cell r="D757" t="e">
            <v>#N/A</v>
          </cell>
          <cell r="E757" t="e">
            <v>#N/A</v>
          </cell>
          <cell r="F757" t="e">
            <v>#N/A</v>
          </cell>
          <cell r="G757" t="e">
            <v>#N/A</v>
          </cell>
          <cell r="H757" t="e">
            <v>#N/A</v>
          </cell>
          <cell r="I757" t="e">
            <v>#N/A</v>
          </cell>
        </row>
        <row r="758">
          <cell r="A758">
            <v>21305</v>
          </cell>
          <cell r="B758" t="e">
            <v>#N/A</v>
          </cell>
          <cell r="C758">
            <v>39.1</v>
          </cell>
          <cell r="D758" t="e">
            <v>#N/A</v>
          </cell>
          <cell r="E758" t="e">
            <v>#N/A</v>
          </cell>
          <cell r="F758" t="e">
            <v>#N/A</v>
          </cell>
          <cell r="G758" t="e">
            <v>#N/A</v>
          </cell>
          <cell r="H758" t="e">
            <v>#N/A</v>
          </cell>
          <cell r="I758" t="e">
            <v>#N/A</v>
          </cell>
        </row>
        <row r="759">
          <cell r="A759">
            <v>21275</v>
          </cell>
          <cell r="B759" t="e">
            <v>#N/A</v>
          </cell>
          <cell r="C759">
            <v>39.799999999999997</v>
          </cell>
          <cell r="D759" t="e">
            <v>#N/A</v>
          </cell>
          <cell r="E759" t="e">
            <v>#N/A</v>
          </cell>
          <cell r="F759" t="e">
            <v>#N/A</v>
          </cell>
          <cell r="G759" t="e">
            <v>#N/A</v>
          </cell>
          <cell r="H759" t="e">
            <v>#N/A</v>
          </cell>
          <cell r="I759" t="e">
            <v>#N/A</v>
          </cell>
        </row>
        <row r="760">
          <cell r="A760">
            <v>21244</v>
          </cell>
          <cell r="B760" t="e">
            <v>#N/A</v>
          </cell>
          <cell r="C760">
            <v>37.200000000000003</v>
          </cell>
          <cell r="D760" t="e">
            <v>#N/A</v>
          </cell>
          <cell r="E760" t="e">
            <v>#N/A</v>
          </cell>
          <cell r="F760" t="e">
            <v>#N/A</v>
          </cell>
          <cell r="G760" t="e">
            <v>#N/A</v>
          </cell>
          <cell r="H760" t="e">
            <v>#N/A</v>
          </cell>
          <cell r="I760" t="e">
            <v>#N/A</v>
          </cell>
        </row>
        <row r="761">
          <cell r="A761">
            <v>21216</v>
          </cell>
          <cell r="B761" t="e">
            <v>#N/A</v>
          </cell>
          <cell r="C761">
            <v>33.4</v>
          </cell>
          <cell r="D761" t="e">
            <v>#N/A</v>
          </cell>
          <cell r="E761" t="e">
            <v>#N/A</v>
          </cell>
          <cell r="F761" t="e">
            <v>#N/A</v>
          </cell>
          <cell r="G761" t="e">
            <v>#N/A</v>
          </cell>
          <cell r="H761" t="e">
            <v>#N/A</v>
          </cell>
          <cell r="I761" t="e">
            <v>#N/A</v>
          </cell>
        </row>
        <row r="762">
          <cell r="A762">
            <v>21185</v>
          </cell>
          <cell r="B762" t="e">
            <v>#N/A</v>
          </cell>
          <cell r="C762">
            <v>36.799999999999997</v>
          </cell>
          <cell r="D762" t="e">
            <v>#N/A</v>
          </cell>
          <cell r="E762" t="e">
            <v>#N/A</v>
          </cell>
          <cell r="F762" t="e">
            <v>#N/A</v>
          </cell>
          <cell r="G762" t="e">
            <v>#N/A</v>
          </cell>
          <cell r="H762" t="e">
            <v>#N/A</v>
          </cell>
          <cell r="I762" t="e">
            <v>#N/A</v>
          </cell>
        </row>
        <row r="763">
          <cell r="A763">
            <v>21154</v>
          </cell>
          <cell r="B763" t="e">
            <v>#N/A</v>
          </cell>
          <cell r="C763">
            <v>40.4</v>
          </cell>
          <cell r="D763" t="e">
            <v>#N/A</v>
          </cell>
          <cell r="E763" t="e">
            <v>#N/A</v>
          </cell>
          <cell r="F763" t="e">
            <v>#N/A</v>
          </cell>
          <cell r="G763" t="e">
            <v>#N/A</v>
          </cell>
          <cell r="H763" t="e">
            <v>#N/A</v>
          </cell>
          <cell r="I763" t="e">
            <v>#N/A</v>
          </cell>
        </row>
        <row r="764">
          <cell r="A764">
            <v>21124</v>
          </cell>
          <cell r="B764" t="e">
            <v>#N/A</v>
          </cell>
          <cell r="C764">
            <v>41.1</v>
          </cell>
          <cell r="D764" t="e">
            <v>#N/A</v>
          </cell>
          <cell r="E764" t="e">
            <v>#N/A</v>
          </cell>
          <cell r="F764" t="e">
            <v>#N/A</v>
          </cell>
          <cell r="G764" t="e">
            <v>#N/A</v>
          </cell>
          <cell r="H764" t="e">
            <v>#N/A</v>
          </cell>
          <cell r="I764" t="e">
            <v>#N/A</v>
          </cell>
        </row>
        <row r="765">
          <cell r="A765">
            <v>21093</v>
          </cell>
          <cell r="B765" t="e">
            <v>#N/A</v>
          </cell>
          <cell r="C765">
            <v>45.8</v>
          </cell>
          <cell r="D765" t="e">
            <v>#N/A</v>
          </cell>
          <cell r="E765" t="e">
            <v>#N/A</v>
          </cell>
          <cell r="F765" t="e">
            <v>#N/A</v>
          </cell>
          <cell r="G765" t="e">
            <v>#N/A</v>
          </cell>
          <cell r="H765" t="e">
            <v>#N/A</v>
          </cell>
          <cell r="I765" t="e">
            <v>#N/A</v>
          </cell>
        </row>
        <row r="766">
          <cell r="A766">
            <v>21063</v>
          </cell>
          <cell r="B766" t="e">
            <v>#N/A</v>
          </cell>
          <cell r="C766">
            <v>45.3</v>
          </cell>
          <cell r="D766" t="e">
            <v>#N/A</v>
          </cell>
          <cell r="E766" t="e">
            <v>#N/A</v>
          </cell>
          <cell r="F766" t="e">
            <v>#N/A</v>
          </cell>
          <cell r="G766" t="e">
            <v>#N/A</v>
          </cell>
          <cell r="H766" t="e">
            <v>#N/A</v>
          </cell>
          <cell r="I766" t="e">
            <v>#N/A</v>
          </cell>
        </row>
        <row r="767">
          <cell r="A767">
            <v>21032</v>
          </cell>
          <cell r="B767" t="e">
            <v>#N/A</v>
          </cell>
          <cell r="C767">
            <v>45.7</v>
          </cell>
          <cell r="D767" t="e">
            <v>#N/A</v>
          </cell>
          <cell r="E767" t="e">
            <v>#N/A</v>
          </cell>
          <cell r="F767" t="e">
            <v>#N/A</v>
          </cell>
          <cell r="G767" t="e">
            <v>#N/A</v>
          </cell>
          <cell r="H767" t="e">
            <v>#N/A</v>
          </cell>
          <cell r="I767" t="e">
            <v>#N/A</v>
          </cell>
        </row>
        <row r="768">
          <cell r="A768">
            <v>21001</v>
          </cell>
          <cell r="B768" t="e">
            <v>#N/A</v>
          </cell>
          <cell r="C768">
            <v>45.9</v>
          </cell>
          <cell r="D768" t="e">
            <v>#N/A</v>
          </cell>
          <cell r="E768" t="e">
            <v>#N/A</v>
          </cell>
          <cell r="F768" t="e">
            <v>#N/A</v>
          </cell>
          <cell r="G768" t="e">
            <v>#N/A</v>
          </cell>
          <cell r="H768" t="e">
            <v>#N/A</v>
          </cell>
          <cell r="I768" t="e">
            <v>#N/A</v>
          </cell>
        </row>
        <row r="769">
          <cell r="A769">
            <v>20971</v>
          </cell>
          <cell r="B769" t="e">
            <v>#N/A</v>
          </cell>
          <cell r="C769">
            <v>43.4</v>
          </cell>
          <cell r="D769" t="e">
            <v>#N/A</v>
          </cell>
          <cell r="E769" t="e">
            <v>#N/A</v>
          </cell>
          <cell r="F769" t="e">
            <v>#N/A</v>
          </cell>
          <cell r="G769" t="e">
            <v>#N/A</v>
          </cell>
          <cell r="H769" t="e">
            <v>#N/A</v>
          </cell>
          <cell r="I769" t="e">
            <v>#N/A</v>
          </cell>
        </row>
        <row r="770">
          <cell r="A770">
            <v>20940</v>
          </cell>
          <cell r="B770" t="e">
            <v>#N/A</v>
          </cell>
          <cell r="C770">
            <v>43.1</v>
          </cell>
          <cell r="D770" t="e">
            <v>#N/A</v>
          </cell>
          <cell r="E770" t="e">
            <v>#N/A</v>
          </cell>
          <cell r="F770" t="e">
            <v>#N/A</v>
          </cell>
          <cell r="G770" t="e">
            <v>#N/A</v>
          </cell>
          <cell r="H770" t="e">
            <v>#N/A</v>
          </cell>
          <cell r="I770" t="e">
            <v>#N/A</v>
          </cell>
        </row>
        <row r="771">
          <cell r="A771">
            <v>20910</v>
          </cell>
          <cell r="B771" t="e">
            <v>#N/A</v>
          </cell>
          <cell r="C771">
            <v>47.5</v>
          </cell>
          <cell r="D771" t="e">
            <v>#N/A</v>
          </cell>
          <cell r="E771" t="e">
            <v>#N/A</v>
          </cell>
          <cell r="F771" t="e">
            <v>#N/A</v>
          </cell>
          <cell r="G771" t="e">
            <v>#N/A</v>
          </cell>
          <cell r="H771" t="e">
            <v>#N/A</v>
          </cell>
          <cell r="I771" t="e">
            <v>#N/A</v>
          </cell>
        </row>
        <row r="772">
          <cell r="A772">
            <v>20879</v>
          </cell>
          <cell r="B772" t="e">
            <v>#N/A</v>
          </cell>
          <cell r="C772">
            <v>51</v>
          </cell>
          <cell r="D772" t="e">
            <v>#N/A</v>
          </cell>
          <cell r="E772" t="e">
            <v>#N/A</v>
          </cell>
          <cell r="F772" t="e">
            <v>#N/A</v>
          </cell>
          <cell r="G772" t="e">
            <v>#N/A</v>
          </cell>
          <cell r="H772" t="e">
            <v>#N/A</v>
          </cell>
          <cell r="I772" t="e">
            <v>#N/A</v>
          </cell>
        </row>
        <row r="773">
          <cell r="A773">
            <v>20851</v>
          </cell>
          <cell r="B773" t="e">
            <v>#N/A</v>
          </cell>
          <cell r="C773">
            <v>53.6</v>
          </cell>
          <cell r="D773" t="e">
            <v>#N/A</v>
          </cell>
          <cell r="E773" t="e">
            <v>#N/A</v>
          </cell>
          <cell r="F773" t="e">
            <v>#N/A</v>
          </cell>
          <cell r="G773" t="e">
            <v>#N/A</v>
          </cell>
          <cell r="H773" t="e">
            <v>#N/A</v>
          </cell>
          <cell r="I773" t="e">
            <v>#N/A</v>
          </cell>
        </row>
        <row r="774">
          <cell r="A774">
            <v>20820</v>
          </cell>
          <cell r="B774" t="e">
            <v>#N/A</v>
          </cell>
          <cell r="C774">
            <v>52.7</v>
          </cell>
          <cell r="D774" t="e">
            <v>#N/A</v>
          </cell>
          <cell r="E774" t="e">
            <v>#N/A</v>
          </cell>
          <cell r="F774" t="e">
            <v>#N/A</v>
          </cell>
          <cell r="G774" t="e">
            <v>#N/A</v>
          </cell>
          <cell r="H774" t="e">
            <v>#N/A</v>
          </cell>
          <cell r="I774" t="e">
            <v>#N/A</v>
          </cell>
        </row>
        <row r="775">
          <cell r="A775">
            <v>20789</v>
          </cell>
          <cell r="B775" t="e">
            <v>#N/A</v>
          </cell>
          <cell r="C775">
            <v>55</v>
          </cell>
          <cell r="D775" t="e">
            <v>#N/A</v>
          </cell>
          <cell r="E775" t="e">
            <v>#N/A</v>
          </cell>
          <cell r="F775" t="e">
            <v>#N/A</v>
          </cell>
          <cell r="G775" t="e">
            <v>#N/A</v>
          </cell>
          <cell r="H775" t="e">
            <v>#N/A</v>
          </cell>
          <cell r="I775" t="e">
            <v>#N/A</v>
          </cell>
        </row>
        <row r="776">
          <cell r="A776">
            <v>20759</v>
          </cell>
          <cell r="B776" t="e">
            <v>#N/A</v>
          </cell>
          <cell r="C776">
            <v>52.7</v>
          </cell>
          <cell r="D776" t="e">
            <v>#N/A</v>
          </cell>
          <cell r="E776" t="e">
            <v>#N/A</v>
          </cell>
          <cell r="F776" t="e">
            <v>#N/A</v>
          </cell>
          <cell r="G776" t="e">
            <v>#N/A</v>
          </cell>
          <cell r="H776" t="e">
            <v>#N/A</v>
          </cell>
          <cell r="I776" t="e">
            <v>#N/A</v>
          </cell>
        </row>
        <row r="777">
          <cell r="A777">
            <v>20728</v>
          </cell>
          <cell r="B777" t="e">
            <v>#N/A</v>
          </cell>
          <cell r="C777">
            <v>55.5</v>
          </cell>
          <cell r="D777" t="e">
            <v>#N/A</v>
          </cell>
          <cell r="E777" t="e">
            <v>#N/A</v>
          </cell>
          <cell r="F777" t="e">
            <v>#N/A</v>
          </cell>
          <cell r="G777" t="e">
            <v>#N/A</v>
          </cell>
          <cell r="H777" t="e">
            <v>#N/A</v>
          </cell>
          <cell r="I777" t="e">
            <v>#N/A</v>
          </cell>
        </row>
        <row r="778">
          <cell r="A778">
            <v>20698</v>
          </cell>
          <cell r="B778" t="e">
            <v>#N/A</v>
          </cell>
          <cell r="C778">
            <v>51.5</v>
          </cell>
          <cell r="D778" t="e">
            <v>#N/A</v>
          </cell>
          <cell r="E778" t="e">
            <v>#N/A</v>
          </cell>
          <cell r="F778" t="e">
            <v>#N/A</v>
          </cell>
          <cell r="G778" t="e">
            <v>#N/A</v>
          </cell>
          <cell r="H778" t="e">
            <v>#N/A</v>
          </cell>
          <cell r="I778" t="e">
            <v>#N/A</v>
          </cell>
        </row>
        <row r="779">
          <cell r="A779">
            <v>20667</v>
          </cell>
          <cell r="B779" t="e">
            <v>#N/A</v>
          </cell>
          <cell r="C779">
            <v>44.2</v>
          </cell>
          <cell r="D779" t="e">
            <v>#N/A</v>
          </cell>
          <cell r="E779" t="e">
            <v>#N/A</v>
          </cell>
          <cell r="F779" t="e">
            <v>#N/A</v>
          </cell>
          <cell r="G779" t="e">
            <v>#N/A</v>
          </cell>
          <cell r="H779" t="e">
            <v>#N/A</v>
          </cell>
          <cell r="I779" t="e">
            <v>#N/A</v>
          </cell>
        </row>
        <row r="780">
          <cell r="A780">
            <v>20636</v>
          </cell>
          <cell r="B780" t="e">
            <v>#N/A</v>
          </cell>
          <cell r="C780">
            <v>47.7</v>
          </cell>
          <cell r="D780" t="e">
            <v>#N/A</v>
          </cell>
          <cell r="E780" t="e">
            <v>#N/A</v>
          </cell>
          <cell r="F780" t="e">
            <v>#N/A</v>
          </cell>
          <cell r="G780" t="e">
            <v>#N/A</v>
          </cell>
          <cell r="H780" t="e">
            <v>#N/A</v>
          </cell>
          <cell r="I780" t="e">
            <v>#N/A</v>
          </cell>
        </row>
        <row r="781">
          <cell r="A781">
            <v>20606</v>
          </cell>
          <cell r="B781" t="e">
            <v>#N/A</v>
          </cell>
          <cell r="C781">
            <v>51.2</v>
          </cell>
          <cell r="D781" t="e">
            <v>#N/A</v>
          </cell>
          <cell r="E781" t="e">
            <v>#N/A</v>
          </cell>
          <cell r="F781" t="e">
            <v>#N/A</v>
          </cell>
          <cell r="G781" t="e">
            <v>#N/A</v>
          </cell>
          <cell r="H781" t="e">
            <v>#N/A</v>
          </cell>
          <cell r="I781" t="e">
            <v>#N/A</v>
          </cell>
        </row>
        <row r="782">
          <cell r="A782">
            <v>20575</v>
          </cell>
          <cell r="B782" t="e">
            <v>#N/A</v>
          </cell>
          <cell r="C782">
            <v>55.9</v>
          </cell>
          <cell r="D782" t="e">
            <v>#N/A</v>
          </cell>
          <cell r="E782" t="e">
            <v>#N/A</v>
          </cell>
          <cell r="F782" t="e">
            <v>#N/A</v>
          </cell>
          <cell r="G782" t="e">
            <v>#N/A</v>
          </cell>
          <cell r="H782" t="e">
            <v>#N/A</v>
          </cell>
          <cell r="I782" t="e">
            <v>#N/A</v>
          </cell>
        </row>
        <row r="783">
          <cell r="A783">
            <v>20545</v>
          </cell>
          <cell r="B783" t="e">
            <v>#N/A</v>
          </cell>
          <cell r="C783">
            <v>57.2</v>
          </cell>
          <cell r="D783" t="e">
            <v>#N/A</v>
          </cell>
          <cell r="E783" t="e">
            <v>#N/A</v>
          </cell>
          <cell r="F783" t="e">
            <v>#N/A</v>
          </cell>
          <cell r="G783" t="e">
            <v>#N/A</v>
          </cell>
          <cell r="H783" t="e">
            <v>#N/A</v>
          </cell>
          <cell r="I783" t="e">
            <v>#N/A</v>
          </cell>
        </row>
        <row r="784">
          <cell r="A784">
            <v>20514</v>
          </cell>
          <cell r="B784" t="e">
            <v>#N/A</v>
          </cell>
          <cell r="C784">
            <v>58.2</v>
          </cell>
          <cell r="D784" t="e">
            <v>#N/A</v>
          </cell>
          <cell r="E784" t="e">
            <v>#N/A</v>
          </cell>
          <cell r="F784" t="e">
            <v>#N/A</v>
          </cell>
          <cell r="G784" t="e">
            <v>#N/A</v>
          </cell>
          <cell r="H784" t="e">
            <v>#N/A</v>
          </cell>
          <cell r="I784" t="e">
            <v>#N/A</v>
          </cell>
        </row>
        <row r="785">
          <cell r="A785">
            <v>20485</v>
          </cell>
          <cell r="B785" t="e">
            <v>#N/A</v>
          </cell>
          <cell r="C785">
            <v>60.2</v>
          </cell>
          <cell r="D785" t="e">
            <v>#N/A</v>
          </cell>
          <cell r="E785" t="e">
            <v>#N/A</v>
          </cell>
          <cell r="F785" t="e">
            <v>#N/A</v>
          </cell>
          <cell r="G785" t="e">
            <v>#N/A</v>
          </cell>
          <cell r="H785" t="e">
            <v>#N/A</v>
          </cell>
          <cell r="I785" t="e">
            <v>#N/A</v>
          </cell>
        </row>
        <row r="786">
          <cell r="A786">
            <v>20454</v>
          </cell>
          <cell r="B786" t="e">
            <v>#N/A</v>
          </cell>
          <cell r="C786">
            <v>65.599999999999994</v>
          </cell>
          <cell r="D786" t="e">
            <v>#N/A</v>
          </cell>
          <cell r="E786" t="e">
            <v>#N/A</v>
          </cell>
          <cell r="F786" t="e">
            <v>#N/A</v>
          </cell>
          <cell r="G786" t="e">
            <v>#N/A</v>
          </cell>
          <cell r="H786" t="e">
            <v>#N/A</v>
          </cell>
          <cell r="I786" t="e">
            <v>#N/A</v>
          </cell>
        </row>
        <row r="787">
          <cell r="A787">
            <v>20423</v>
          </cell>
          <cell r="B787" t="e">
            <v>#N/A</v>
          </cell>
          <cell r="C787">
            <v>62</v>
          </cell>
          <cell r="D787" t="e">
            <v>#N/A</v>
          </cell>
          <cell r="E787" t="e">
            <v>#N/A</v>
          </cell>
          <cell r="F787" t="e">
            <v>#N/A</v>
          </cell>
          <cell r="G787" t="e">
            <v>#N/A</v>
          </cell>
          <cell r="H787" t="e">
            <v>#N/A</v>
          </cell>
          <cell r="I787" t="e">
            <v>#N/A</v>
          </cell>
        </row>
        <row r="788">
          <cell r="A788">
            <v>20393</v>
          </cell>
          <cell r="B788" t="e">
            <v>#N/A</v>
          </cell>
          <cell r="C788">
            <v>63.7</v>
          </cell>
          <cell r="D788" t="e">
            <v>#N/A</v>
          </cell>
          <cell r="E788" t="e">
            <v>#N/A</v>
          </cell>
          <cell r="F788" t="e">
            <v>#N/A</v>
          </cell>
          <cell r="G788" t="e">
            <v>#N/A</v>
          </cell>
          <cell r="H788" t="e">
            <v>#N/A</v>
          </cell>
          <cell r="I788" t="e">
            <v>#N/A</v>
          </cell>
        </row>
        <row r="789">
          <cell r="A789">
            <v>20362</v>
          </cell>
          <cell r="B789" t="e">
            <v>#N/A</v>
          </cell>
          <cell r="C789">
            <v>62.4</v>
          </cell>
          <cell r="D789" t="e">
            <v>#N/A</v>
          </cell>
          <cell r="E789" t="e">
            <v>#N/A</v>
          </cell>
          <cell r="F789" t="e">
            <v>#N/A</v>
          </cell>
          <cell r="G789" t="e">
            <v>#N/A</v>
          </cell>
          <cell r="H789" t="e">
            <v>#N/A</v>
          </cell>
          <cell r="I789" t="e">
            <v>#N/A</v>
          </cell>
        </row>
        <row r="790">
          <cell r="A790">
            <v>20332</v>
          </cell>
          <cell r="B790" t="e">
            <v>#N/A</v>
          </cell>
          <cell r="C790">
            <v>64.8</v>
          </cell>
          <cell r="D790" t="e">
            <v>#N/A</v>
          </cell>
          <cell r="E790" t="e">
            <v>#N/A</v>
          </cell>
          <cell r="F790" t="e">
            <v>#N/A</v>
          </cell>
          <cell r="G790" t="e">
            <v>#N/A</v>
          </cell>
          <cell r="H790" t="e">
            <v>#N/A</v>
          </cell>
          <cell r="I790" t="e">
            <v>#N/A</v>
          </cell>
        </row>
        <row r="791">
          <cell r="A791">
            <v>20301</v>
          </cell>
          <cell r="B791" t="e">
            <v>#N/A</v>
          </cell>
          <cell r="C791">
            <v>66.2</v>
          </cell>
          <cell r="D791" t="e">
            <v>#N/A</v>
          </cell>
          <cell r="E791" t="e">
            <v>#N/A</v>
          </cell>
          <cell r="F791" t="e">
            <v>#N/A</v>
          </cell>
          <cell r="G791" t="e">
            <v>#N/A</v>
          </cell>
          <cell r="H791" t="e">
            <v>#N/A</v>
          </cell>
          <cell r="I791" t="e">
            <v>#N/A</v>
          </cell>
        </row>
        <row r="792">
          <cell r="A792">
            <v>20270</v>
          </cell>
          <cell r="B792" t="e">
            <v>#N/A</v>
          </cell>
          <cell r="C792">
            <v>63.3</v>
          </cell>
          <cell r="D792" t="e">
            <v>#N/A</v>
          </cell>
          <cell r="E792" t="e">
            <v>#N/A</v>
          </cell>
          <cell r="F792" t="e">
            <v>#N/A</v>
          </cell>
          <cell r="G792" t="e">
            <v>#N/A</v>
          </cell>
          <cell r="H792" t="e">
            <v>#N/A</v>
          </cell>
          <cell r="I792" t="e">
            <v>#N/A</v>
          </cell>
        </row>
        <row r="793">
          <cell r="A793">
            <v>20240</v>
          </cell>
          <cell r="B793" t="e">
            <v>#N/A</v>
          </cell>
          <cell r="C793">
            <v>69.5</v>
          </cell>
          <cell r="D793" t="e">
            <v>#N/A</v>
          </cell>
          <cell r="E793" t="e">
            <v>#N/A</v>
          </cell>
          <cell r="F793" t="e">
            <v>#N/A</v>
          </cell>
          <cell r="G793" t="e">
            <v>#N/A</v>
          </cell>
          <cell r="H793" t="e">
            <v>#N/A</v>
          </cell>
          <cell r="I793" t="e">
            <v>#N/A</v>
          </cell>
        </row>
        <row r="794">
          <cell r="A794">
            <v>20209</v>
          </cell>
          <cell r="B794" t="e">
            <v>#N/A</v>
          </cell>
          <cell r="C794">
            <v>68.7</v>
          </cell>
          <cell r="D794" t="e">
            <v>#N/A</v>
          </cell>
          <cell r="E794" t="e">
            <v>#N/A</v>
          </cell>
          <cell r="F794" t="e">
            <v>#N/A</v>
          </cell>
          <cell r="G794" t="e">
            <v>#N/A</v>
          </cell>
          <cell r="H794" t="e">
            <v>#N/A</v>
          </cell>
          <cell r="I794" t="e">
            <v>#N/A</v>
          </cell>
        </row>
        <row r="795">
          <cell r="A795">
            <v>20179</v>
          </cell>
          <cell r="B795" t="e">
            <v>#N/A</v>
          </cell>
          <cell r="C795">
            <v>67.5</v>
          </cell>
          <cell r="D795" t="e">
            <v>#N/A</v>
          </cell>
          <cell r="E795" t="e">
            <v>#N/A</v>
          </cell>
          <cell r="F795" t="e">
            <v>#N/A</v>
          </cell>
          <cell r="G795" t="e">
            <v>#N/A</v>
          </cell>
          <cell r="H795" t="e">
            <v>#N/A</v>
          </cell>
          <cell r="I795" t="e">
            <v>#N/A</v>
          </cell>
        </row>
        <row r="796">
          <cell r="A796">
            <v>20148</v>
          </cell>
          <cell r="B796" t="e">
            <v>#N/A</v>
          </cell>
          <cell r="C796">
            <v>67.8</v>
          </cell>
          <cell r="D796" t="e">
            <v>#N/A</v>
          </cell>
          <cell r="E796" t="e">
            <v>#N/A</v>
          </cell>
          <cell r="F796" t="e">
            <v>#N/A</v>
          </cell>
          <cell r="G796" t="e">
            <v>#N/A</v>
          </cell>
          <cell r="H796" t="e">
            <v>#N/A</v>
          </cell>
          <cell r="I796" t="e">
            <v>#N/A</v>
          </cell>
        </row>
        <row r="797">
          <cell r="A797">
            <v>20120</v>
          </cell>
          <cell r="B797" t="e">
            <v>#N/A</v>
          </cell>
          <cell r="C797">
            <v>63</v>
          </cell>
          <cell r="D797" t="e">
            <v>#N/A</v>
          </cell>
          <cell r="E797" t="e">
            <v>#N/A</v>
          </cell>
          <cell r="F797" t="e">
            <v>#N/A</v>
          </cell>
          <cell r="G797" t="e">
            <v>#N/A</v>
          </cell>
          <cell r="H797" t="e">
            <v>#N/A</v>
          </cell>
          <cell r="I797" t="e">
            <v>#N/A</v>
          </cell>
        </row>
        <row r="798">
          <cell r="A798">
            <v>20089</v>
          </cell>
          <cell r="B798" t="e">
            <v>#N/A</v>
          </cell>
          <cell r="C798">
            <v>63.8</v>
          </cell>
          <cell r="D798" t="e">
            <v>#N/A</v>
          </cell>
          <cell r="E798" t="e">
            <v>#N/A</v>
          </cell>
          <cell r="F798" t="e">
            <v>#N/A</v>
          </cell>
          <cell r="G798" t="e">
            <v>#N/A</v>
          </cell>
          <cell r="H798" t="e">
            <v>#N/A</v>
          </cell>
          <cell r="I798" t="e">
            <v>#N/A</v>
          </cell>
        </row>
        <row r="799">
          <cell r="A799">
            <v>20058</v>
          </cell>
          <cell r="B799" t="e">
            <v>#N/A</v>
          </cell>
          <cell r="C799">
            <v>58.8</v>
          </cell>
          <cell r="D799" t="e">
            <v>#N/A</v>
          </cell>
          <cell r="E799" t="e">
            <v>#N/A</v>
          </cell>
          <cell r="F799" t="e">
            <v>#N/A</v>
          </cell>
          <cell r="G799" t="e">
            <v>#N/A</v>
          </cell>
          <cell r="H799" t="e">
            <v>#N/A</v>
          </cell>
          <cell r="I799" t="e">
            <v>#N/A</v>
          </cell>
        </row>
        <row r="800">
          <cell r="A800">
            <v>20028</v>
          </cell>
          <cell r="B800" t="e">
            <v>#N/A</v>
          </cell>
          <cell r="C800">
            <v>58.2</v>
          </cell>
          <cell r="D800" t="e">
            <v>#N/A</v>
          </cell>
          <cell r="E800" t="e">
            <v>#N/A</v>
          </cell>
          <cell r="F800" t="e">
            <v>#N/A</v>
          </cell>
          <cell r="G800" t="e">
            <v>#N/A</v>
          </cell>
          <cell r="H800" t="e">
            <v>#N/A</v>
          </cell>
          <cell r="I800" t="e">
            <v>#N/A</v>
          </cell>
        </row>
        <row r="801">
          <cell r="A801">
            <v>19997</v>
          </cell>
          <cell r="B801" t="e">
            <v>#N/A</v>
          </cell>
          <cell r="C801">
            <v>53.5</v>
          </cell>
          <cell r="D801" t="e">
            <v>#N/A</v>
          </cell>
          <cell r="E801" t="e">
            <v>#N/A</v>
          </cell>
          <cell r="F801" t="e">
            <v>#N/A</v>
          </cell>
          <cell r="G801" t="e">
            <v>#N/A</v>
          </cell>
          <cell r="H801" t="e">
            <v>#N/A</v>
          </cell>
          <cell r="I801" t="e">
            <v>#N/A</v>
          </cell>
        </row>
        <row r="802">
          <cell r="A802">
            <v>19967</v>
          </cell>
          <cell r="B802" t="e">
            <v>#N/A</v>
          </cell>
          <cell r="C802">
            <v>54.4</v>
          </cell>
          <cell r="D802" t="e">
            <v>#N/A</v>
          </cell>
          <cell r="E802" t="e">
            <v>#N/A</v>
          </cell>
          <cell r="F802" t="e">
            <v>#N/A</v>
          </cell>
          <cell r="G802" t="e">
            <v>#N/A</v>
          </cell>
          <cell r="H802" t="e">
            <v>#N/A</v>
          </cell>
          <cell r="I802" t="e">
            <v>#N/A</v>
          </cell>
        </row>
        <row r="803">
          <cell r="A803">
            <v>19936</v>
          </cell>
          <cell r="B803" t="e">
            <v>#N/A</v>
          </cell>
          <cell r="C803">
            <v>51.7</v>
          </cell>
          <cell r="D803" t="e">
            <v>#N/A</v>
          </cell>
          <cell r="E803" t="e">
            <v>#N/A</v>
          </cell>
          <cell r="F803" t="e">
            <v>#N/A</v>
          </cell>
          <cell r="G803" t="e">
            <v>#N/A</v>
          </cell>
          <cell r="H803" t="e">
            <v>#N/A</v>
          </cell>
          <cell r="I803" t="e">
            <v>#N/A</v>
          </cell>
        </row>
        <row r="804">
          <cell r="A804">
            <v>19905</v>
          </cell>
          <cell r="B804" t="e">
            <v>#N/A</v>
          </cell>
          <cell r="C804">
            <v>52.1</v>
          </cell>
          <cell r="D804" t="e">
            <v>#N/A</v>
          </cell>
          <cell r="E804" t="e">
            <v>#N/A</v>
          </cell>
          <cell r="F804" t="e">
            <v>#N/A</v>
          </cell>
          <cell r="G804" t="e">
            <v>#N/A</v>
          </cell>
          <cell r="H804" t="e">
            <v>#N/A</v>
          </cell>
          <cell r="I804" t="e">
            <v>#N/A</v>
          </cell>
        </row>
        <row r="805">
          <cell r="A805">
            <v>19875</v>
          </cell>
          <cell r="B805" t="e">
            <v>#N/A</v>
          </cell>
          <cell r="C805">
            <v>50.1</v>
          </cell>
          <cell r="D805" t="e">
            <v>#N/A</v>
          </cell>
          <cell r="E805" t="e">
            <v>#N/A</v>
          </cell>
          <cell r="F805" t="e">
            <v>#N/A</v>
          </cell>
          <cell r="G805" t="e">
            <v>#N/A</v>
          </cell>
          <cell r="H805" t="e">
            <v>#N/A</v>
          </cell>
          <cell r="I805" t="e">
            <v>#N/A</v>
          </cell>
        </row>
        <row r="806">
          <cell r="A806">
            <v>19844</v>
          </cell>
          <cell r="B806" t="e">
            <v>#N/A</v>
          </cell>
          <cell r="C806">
            <v>47.7</v>
          </cell>
          <cell r="D806" t="e">
            <v>#N/A</v>
          </cell>
          <cell r="E806" t="e">
            <v>#N/A</v>
          </cell>
          <cell r="F806" t="e">
            <v>#N/A</v>
          </cell>
          <cell r="G806" t="e">
            <v>#N/A</v>
          </cell>
          <cell r="H806" t="e">
            <v>#N/A</v>
          </cell>
          <cell r="I806" t="e">
            <v>#N/A</v>
          </cell>
        </row>
        <row r="807">
          <cell r="A807">
            <v>19814</v>
          </cell>
          <cell r="B807" t="e">
            <v>#N/A</v>
          </cell>
          <cell r="C807">
            <v>44.7</v>
          </cell>
          <cell r="D807" t="e">
            <v>#N/A</v>
          </cell>
          <cell r="E807" t="e">
            <v>#N/A</v>
          </cell>
          <cell r="F807" t="e">
            <v>#N/A</v>
          </cell>
          <cell r="G807" t="e">
            <v>#N/A</v>
          </cell>
          <cell r="H807" t="e">
            <v>#N/A</v>
          </cell>
          <cell r="I807" t="e">
            <v>#N/A</v>
          </cell>
        </row>
        <row r="808">
          <cell r="A808">
            <v>19783</v>
          </cell>
          <cell r="B808" t="e">
            <v>#N/A</v>
          </cell>
          <cell r="C808">
            <v>40.700000000000003</v>
          </cell>
          <cell r="D808" t="e">
            <v>#N/A</v>
          </cell>
          <cell r="E808" t="e">
            <v>#N/A</v>
          </cell>
          <cell r="F808" t="e">
            <v>#N/A</v>
          </cell>
          <cell r="G808" t="e">
            <v>#N/A</v>
          </cell>
          <cell r="H808" t="e">
            <v>#N/A</v>
          </cell>
          <cell r="I808" t="e">
            <v>#N/A</v>
          </cell>
        </row>
        <row r="809">
          <cell r="A809">
            <v>19755</v>
          </cell>
          <cell r="B809" t="e">
            <v>#N/A</v>
          </cell>
          <cell r="C809">
            <v>37.4</v>
          </cell>
          <cell r="D809" t="e">
            <v>#N/A</v>
          </cell>
          <cell r="E809" t="e">
            <v>#N/A</v>
          </cell>
          <cell r="F809" t="e">
            <v>#N/A</v>
          </cell>
          <cell r="G809" t="e">
            <v>#N/A</v>
          </cell>
          <cell r="H809" t="e">
            <v>#N/A</v>
          </cell>
          <cell r="I809" t="e">
            <v>#N/A</v>
          </cell>
        </row>
        <row r="810">
          <cell r="A810">
            <v>19724</v>
          </cell>
          <cell r="B810" t="e">
            <v>#N/A</v>
          </cell>
          <cell r="C810">
            <v>35.6</v>
          </cell>
          <cell r="D810" t="e">
            <v>#N/A</v>
          </cell>
          <cell r="E810" t="e">
            <v>#N/A</v>
          </cell>
          <cell r="F810" t="e">
            <v>#N/A</v>
          </cell>
          <cell r="G810" t="e">
            <v>#N/A</v>
          </cell>
          <cell r="H810" t="e">
            <v>#N/A</v>
          </cell>
          <cell r="I810" t="e">
            <v>#N/A</v>
          </cell>
        </row>
        <row r="811">
          <cell r="A811">
            <v>19693</v>
          </cell>
          <cell r="B811" t="e">
            <v>#N/A</v>
          </cell>
          <cell r="C811">
            <v>36.9</v>
          </cell>
          <cell r="D811" t="e">
            <v>#N/A</v>
          </cell>
          <cell r="E811" t="e">
            <v>#N/A</v>
          </cell>
          <cell r="F811" t="e">
            <v>#N/A</v>
          </cell>
          <cell r="G811" t="e">
            <v>#N/A</v>
          </cell>
          <cell r="H811" t="e">
            <v>#N/A</v>
          </cell>
          <cell r="I811" t="e">
            <v>#N/A</v>
          </cell>
        </row>
        <row r="812">
          <cell r="A812">
            <v>19663</v>
          </cell>
          <cell r="B812" t="e">
            <v>#N/A</v>
          </cell>
          <cell r="C812">
            <v>37.4</v>
          </cell>
          <cell r="D812" t="e">
            <v>#N/A</v>
          </cell>
          <cell r="E812" t="e">
            <v>#N/A</v>
          </cell>
          <cell r="F812" t="e">
            <v>#N/A</v>
          </cell>
          <cell r="G812" t="e">
            <v>#N/A</v>
          </cell>
          <cell r="H812" t="e">
            <v>#N/A</v>
          </cell>
          <cell r="I812" t="e">
            <v>#N/A</v>
          </cell>
        </row>
        <row r="813">
          <cell r="A813">
            <v>19632</v>
          </cell>
          <cell r="B813" t="e">
            <v>#N/A</v>
          </cell>
          <cell r="C813">
            <v>40.200000000000003</v>
          </cell>
          <cell r="D813" t="e">
            <v>#N/A</v>
          </cell>
          <cell r="E813" t="e">
            <v>#N/A</v>
          </cell>
          <cell r="F813" t="e">
            <v>#N/A</v>
          </cell>
          <cell r="G813" t="e">
            <v>#N/A</v>
          </cell>
          <cell r="H813" t="e">
            <v>#N/A</v>
          </cell>
          <cell r="I813" t="e">
            <v>#N/A</v>
          </cell>
        </row>
        <row r="814">
          <cell r="A814">
            <v>19602</v>
          </cell>
          <cell r="B814" t="e">
            <v>#N/A</v>
          </cell>
          <cell r="C814">
            <v>43.5</v>
          </cell>
          <cell r="D814" t="e">
            <v>#N/A</v>
          </cell>
          <cell r="E814" t="e">
            <v>#N/A</v>
          </cell>
          <cell r="F814" t="e">
            <v>#N/A</v>
          </cell>
          <cell r="G814" t="e">
            <v>#N/A</v>
          </cell>
          <cell r="H814" t="e">
            <v>#N/A</v>
          </cell>
          <cell r="I814" t="e">
            <v>#N/A</v>
          </cell>
        </row>
        <row r="815">
          <cell r="A815">
            <v>19571</v>
          </cell>
          <cell r="B815" t="e">
            <v>#N/A</v>
          </cell>
          <cell r="C815">
            <v>46.3</v>
          </cell>
          <cell r="D815" t="e">
            <v>#N/A</v>
          </cell>
          <cell r="E815" t="e">
            <v>#N/A</v>
          </cell>
          <cell r="F815" t="e">
            <v>#N/A</v>
          </cell>
          <cell r="G815" t="e">
            <v>#N/A</v>
          </cell>
          <cell r="H815" t="e">
            <v>#N/A</v>
          </cell>
          <cell r="I815" t="e">
            <v>#N/A</v>
          </cell>
        </row>
        <row r="816">
          <cell r="A816">
            <v>19540</v>
          </cell>
          <cell r="B816" t="e">
            <v>#N/A</v>
          </cell>
          <cell r="C816">
            <v>48.5</v>
          </cell>
          <cell r="D816" t="e">
            <v>#N/A</v>
          </cell>
          <cell r="E816" t="e">
            <v>#N/A</v>
          </cell>
          <cell r="F816" t="e">
            <v>#N/A</v>
          </cell>
          <cell r="G816" t="e">
            <v>#N/A</v>
          </cell>
          <cell r="H816" t="e">
            <v>#N/A</v>
          </cell>
          <cell r="I816" t="e">
            <v>#N/A</v>
          </cell>
        </row>
        <row r="817">
          <cell r="A817">
            <v>19510</v>
          </cell>
          <cell r="B817" t="e">
            <v>#N/A</v>
          </cell>
          <cell r="C817">
            <v>48.9</v>
          </cell>
          <cell r="D817" t="e">
            <v>#N/A</v>
          </cell>
          <cell r="E817" t="e">
            <v>#N/A</v>
          </cell>
          <cell r="F817" t="e">
            <v>#N/A</v>
          </cell>
          <cell r="G817" t="e">
            <v>#N/A</v>
          </cell>
          <cell r="H817" t="e">
            <v>#N/A</v>
          </cell>
          <cell r="I817" t="e">
            <v>#N/A</v>
          </cell>
        </row>
        <row r="818">
          <cell r="A818">
            <v>19479</v>
          </cell>
          <cell r="B818" t="e">
            <v>#N/A</v>
          </cell>
          <cell r="C818">
            <v>51.1</v>
          </cell>
          <cell r="D818" t="e">
            <v>#N/A</v>
          </cell>
          <cell r="E818" t="e">
            <v>#N/A</v>
          </cell>
          <cell r="F818" t="e">
            <v>#N/A</v>
          </cell>
          <cell r="G818" t="e">
            <v>#N/A</v>
          </cell>
          <cell r="H818" t="e">
            <v>#N/A</v>
          </cell>
          <cell r="I818" t="e">
            <v>#N/A</v>
          </cell>
        </row>
        <row r="819">
          <cell r="A819">
            <v>19449</v>
          </cell>
          <cell r="B819" t="e">
            <v>#N/A</v>
          </cell>
          <cell r="C819">
            <v>50.5</v>
          </cell>
          <cell r="D819" t="e">
            <v>#N/A</v>
          </cell>
          <cell r="E819" t="e">
            <v>#N/A</v>
          </cell>
          <cell r="F819" t="e">
            <v>#N/A</v>
          </cell>
          <cell r="G819" t="e">
            <v>#N/A</v>
          </cell>
          <cell r="H819" t="e">
            <v>#N/A</v>
          </cell>
          <cell r="I819" t="e">
            <v>#N/A</v>
          </cell>
        </row>
        <row r="820">
          <cell r="A820">
            <v>19418</v>
          </cell>
          <cell r="B820" t="e">
            <v>#N/A</v>
          </cell>
          <cell r="C820">
            <v>55.4</v>
          </cell>
          <cell r="D820" t="e">
            <v>#N/A</v>
          </cell>
          <cell r="E820" t="e">
            <v>#N/A</v>
          </cell>
          <cell r="F820" t="e">
            <v>#N/A</v>
          </cell>
          <cell r="G820" t="e">
            <v>#N/A</v>
          </cell>
          <cell r="H820" t="e">
            <v>#N/A</v>
          </cell>
          <cell r="I820" t="e">
            <v>#N/A</v>
          </cell>
        </row>
        <row r="821">
          <cell r="A821">
            <v>19390</v>
          </cell>
          <cell r="B821" t="e">
            <v>#N/A</v>
          </cell>
          <cell r="C821">
            <v>59.4</v>
          </cell>
          <cell r="D821" t="e">
            <v>#N/A</v>
          </cell>
          <cell r="E821" t="e">
            <v>#N/A</v>
          </cell>
          <cell r="F821" t="e">
            <v>#N/A</v>
          </cell>
          <cell r="G821" t="e">
            <v>#N/A</v>
          </cell>
          <cell r="H821" t="e">
            <v>#N/A</v>
          </cell>
          <cell r="I821" t="e">
            <v>#N/A</v>
          </cell>
        </row>
        <row r="822">
          <cell r="A822">
            <v>19359</v>
          </cell>
          <cell r="B822" t="e">
            <v>#N/A</v>
          </cell>
          <cell r="C822">
            <v>55.8</v>
          </cell>
          <cell r="D822" t="e">
            <v>#N/A</v>
          </cell>
          <cell r="E822" t="e">
            <v>#N/A</v>
          </cell>
          <cell r="F822" t="e">
            <v>#N/A</v>
          </cell>
          <cell r="G822" t="e">
            <v>#N/A</v>
          </cell>
          <cell r="H822" t="e">
            <v>#N/A</v>
          </cell>
          <cell r="I822" t="e">
            <v>#N/A</v>
          </cell>
        </row>
        <row r="823">
          <cell r="A823">
            <v>19328</v>
          </cell>
          <cell r="B823" t="e">
            <v>#N/A</v>
          </cell>
          <cell r="C823">
            <v>56.8</v>
          </cell>
          <cell r="D823" t="e">
            <v>#N/A</v>
          </cell>
          <cell r="E823" t="e">
            <v>#N/A</v>
          </cell>
          <cell r="F823" t="e">
            <v>#N/A</v>
          </cell>
          <cell r="G823" t="e">
            <v>#N/A</v>
          </cell>
          <cell r="H823" t="e">
            <v>#N/A</v>
          </cell>
          <cell r="I823" t="e">
            <v>#N/A</v>
          </cell>
        </row>
        <row r="824">
          <cell r="A824">
            <v>19298</v>
          </cell>
          <cell r="B824" t="e">
            <v>#N/A</v>
          </cell>
          <cell r="C824">
            <v>56.2</v>
          </cell>
          <cell r="D824" t="e">
            <v>#N/A</v>
          </cell>
          <cell r="E824" t="e">
            <v>#N/A</v>
          </cell>
          <cell r="F824" t="e">
            <v>#N/A</v>
          </cell>
          <cell r="G824" t="e">
            <v>#N/A</v>
          </cell>
          <cell r="H824" t="e">
            <v>#N/A</v>
          </cell>
          <cell r="I824" t="e">
            <v>#N/A</v>
          </cell>
        </row>
        <row r="825">
          <cell r="A825">
            <v>19267</v>
          </cell>
          <cell r="B825" t="e">
            <v>#N/A</v>
          </cell>
          <cell r="C825">
            <v>56.1</v>
          </cell>
          <cell r="D825" t="e">
            <v>#N/A</v>
          </cell>
          <cell r="E825" t="e">
            <v>#N/A</v>
          </cell>
          <cell r="F825" t="e">
            <v>#N/A</v>
          </cell>
          <cell r="G825" t="e">
            <v>#N/A</v>
          </cell>
          <cell r="H825" t="e">
            <v>#N/A</v>
          </cell>
          <cell r="I825" t="e">
            <v>#N/A</v>
          </cell>
        </row>
        <row r="826">
          <cell r="A826">
            <v>19237</v>
          </cell>
          <cell r="B826" t="e">
            <v>#N/A</v>
          </cell>
          <cell r="C826">
            <v>60.4</v>
          </cell>
          <cell r="D826" t="e">
            <v>#N/A</v>
          </cell>
          <cell r="E826" t="e">
            <v>#N/A</v>
          </cell>
          <cell r="F826" t="e">
            <v>#N/A</v>
          </cell>
          <cell r="G826" t="e">
            <v>#N/A</v>
          </cell>
          <cell r="H826" t="e">
            <v>#N/A</v>
          </cell>
          <cell r="I826" t="e">
            <v>#N/A</v>
          </cell>
        </row>
        <row r="827">
          <cell r="A827">
            <v>19206</v>
          </cell>
          <cell r="B827" t="e">
            <v>#N/A</v>
          </cell>
          <cell r="C827">
            <v>48.3</v>
          </cell>
          <cell r="D827" t="e">
            <v>#N/A</v>
          </cell>
          <cell r="E827" t="e">
            <v>#N/A</v>
          </cell>
          <cell r="F827" t="e">
            <v>#N/A</v>
          </cell>
          <cell r="G827" t="e">
            <v>#N/A</v>
          </cell>
          <cell r="H827" t="e">
            <v>#N/A</v>
          </cell>
          <cell r="I827" t="e">
            <v>#N/A</v>
          </cell>
        </row>
        <row r="828">
          <cell r="A828">
            <v>19175</v>
          </cell>
          <cell r="B828" t="e">
            <v>#N/A</v>
          </cell>
          <cell r="C828">
            <v>43.3</v>
          </cell>
          <cell r="D828" t="e">
            <v>#N/A</v>
          </cell>
          <cell r="E828" t="e">
            <v>#N/A</v>
          </cell>
          <cell r="F828" t="e">
            <v>#N/A</v>
          </cell>
          <cell r="G828" t="e">
            <v>#N/A</v>
          </cell>
          <cell r="H828" t="e">
            <v>#N/A</v>
          </cell>
          <cell r="I828" t="e">
            <v>#N/A</v>
          </cell>
        </row>
        <row r="829">
          <cell r="A829">
            <v>19145</v>
          </cell>
          <cell r="B829" t="e">
            <v>#N/A</v>
          </cell>
          <cell r="C829">
            <v>39.5</v>
          </cell>
          <cell r="D829" t="e">
            <v>#N/A</v>
          </cell>
          <cell r="E829" t="e">
            <v>#N/A</v>
          </cell>
          <cell r="F829" t="e">
            <v>#N/A</v>
          </cell>
          <cell r="G829" t="e">
            <v>#N/A</v>
          </cell>
          <cell r="H829" t="e">
            <v>#N/A</v>
          </cell>
          <cell r="I829" t="e">
            <v>#N/A</v>
          </cell>
        </row>
        <row r="830">
          <cell r="A830">
            <v>19114</v>
          </cell>
          <cell r="B830" t="e">
            <v>#N/A</v>
          </cell>
          <cell r="C830">
            <v>36.700000000000003</v>
          </cell>
          <cell r="D830" t="e">
            <v>#N/A</v>
          </cell>
          <cell r="E830" t="e">
            <v>#N/A</v>
          </cell>
          <cell r="F830" t="e">
            <v>#N/A</v>
          </cell>
          <cell r="G830" t="e">
            <v>#N/A</v>
          </cell>
          <cell r="H830" t="e">
            <v>#N/A</v>
          </cell>
          <cell r="I830" t="e">
            <v>#N/A</v>
          </cell>
        </row>
        <row r="831">
          <cell r="A831">
            <v>19084</v>
          </cell>
          <cell r="B831" t="e">
            <v>#N/A</v>
          </cell>
          <cell r="C831">
            <v>40</v>
          </cell>
          <cell r="D831" t="e">
            <v>#N/A</v>
          </cell>
          <cell r="E831" t="e">
            <v>#N/A</v>
          </cell>
          <cell r="F831" t="e">
            <v>#N/A</v>
          </cell>
          <cell r="G831" t="e">
            <v>#N/A</v>
          </cell>
          <cell r="H831" t="e">
            <v>#N/A</v>
          </cell>
          <cell r="I831" t="e">
            <v>#N/A</v>
          </cell>
        </row>
        <row r="832">
          <cell r="A832">
            <v>19053</v>
          </cell>
          <cell r="B832" t="e">
            <v>#N/A</v>
          </cell>
          <cell r="C832">
            <v>41.8</v>
          </cell>
          <cell r="D832" t="e">
            <v>#N/A</v>
          </cell>
          <cell r="E832" t="e">
            <v>#N/A</v>
          </cell>
          <cell r="F832" t="e">
            <v>#N/A</v>
          </cell>
          <cell r="G832" t="e">
            <v>#N/A</v>
          </cell>
          <cell r="H832" t="e">
            <v>#N/A</v>
          </cell>
          <cell r="I832" t="e">
            <v>#N/A</v>
          </cell>
        </row>
        <row r="833">
          <cell r="A833">
            <v>19024</v>
          </cell>
          <cell r="B833" t="e">
            <v>#N/A</v>
          </cell>
          <cell r="C833">
            <v>44.7</v>
          </cell>
          <cell r="D833" t="e">
            <v>#N/A</v>
          </cell>
          <cell r="E833" t="e">
            <v>#N/A</v>
          </cell>
          <cell r="F833" t="e">
            <v>#N/A</v>
          </cell>
          <cell r="G833" t="e">
            <v>#N/A</v>
          </cell>
          <cell r="H833" t="e">
            <v>#N/A</v>
          </cell>
          <cell r="I833" t="e">
            <v>#N/A</v>
          </cell>
        </row>
        <row r="834">
          <cell r="A834">
            <v>18993</v>
          </cell>
          <cell r="B834" t="e">
            <v>#N/A</v>
          </cell>
          <cell r="C834">
            <v>46.5</v>
          </cell>
          <cell r="D834" t="e">
            <v>#N/A</v>
          </cell>
          <cell r="E834" t="e">
            <v>#N/A</v>
          </cell>
          <cell r="F834" t="e">
            <v>#N/A</v>
          </cell>
          <cell r="G834" t="e">
            <v>#N/A</v>
          </cell>
          <cell r="H834" t="e">
            <v>#N/A</v>
          </cell>
          <cell r="I834" t="e">
            <v>#N/A</v>
          </cell>
        </row>
        <row r="835">
          <cell r="A835">
            <v>18962</v>
          </cell>
          <cell r="B835" t="e">
            <v>#N/A</v>
          </cell>
          <cell r="C835">
            <v>47.2</v>
          </cell>
          <cell r="D835" t="e">
            <v>#N/A</v>
          </cell>
          <cell r="E835" t="e">
            <v>#N/A</v>
          </cell>
          <cell r="F835" t="e">
            <v>#N/A</v>
          </cell>
          <cell r="G835" t="e">
            <v>#N/A</v>
          </cell>
          <cell r="H835" t="e">
            <v>#N/A</v>
          </cell>
          <cell r="I835" t="e">
            <v>#N/A</v>
          </cell>
        </row>
        <row r="836">
          <cell r="A836">
            <v>18932</v>
          </cell>
          <cell r="B836" t="e">
            <v>#N/A</v>
          </cell>
          <cell r="C836">
            <v>49.6</v>
          </cell>
          <cell r="D836" t="e">
            <v>#N/A</v>
          </cell>
          <cell r="E836" t="e">
            <v>#N/A</v>
          </cell>
          <cell r="F836" t="e">
            <v>#N/A</v>
          </cell>
          <cell r="G836" t="e">
            <v>#N/A</v>
          </cell>
          <cell r="H836" t="e">
            <v>#N/A</v>
          </cell>
          <cell r="I836" t="e">
            <v>#N/A</v>
          </cell>
        </row>
        <row r="837">
          <cell r="A837">
            <v>18901</v>
          </cell>
          <cell r="B837" t="e">
            <v>#N/A</v>
          </cell>
          <cell r="C837">
            <v>48.1</v>
          </cell>
          <cell r="D837" t="e">
            <v>#N/A</v>
          </cell>
          <cell r="E837" t="e">
            <v>#N/A</v>
          </cell>
          <cell r="F837" t="e">
            <v>#N/A</v>
          </cell>
          <cell r="G837" t="e">
            <v>#N/A</v>
          </cell>
          <cell r="H837" t="e">
            <v>#N/A</v>
          </cell>
          <cell r="I837" t="e">
            <v>#N/A</v>
          </cell>
        </row>
        <row r="838">
          <cell r="A838">
            <v>18871</v>
          </cell>
          <cell r="B838" t="e">
            <v>#N/A</v>
          </cell>
          <cell r="C838">
            <v>43.6</v>
          </cell>
          <cell r="D838" t="e">
            <v>#N/A</v>
          </cell>
          <cell r="E838" t="e">
            <v>#N/A</v>
          </cell>
          <cell r="F838" t="e">
            <v>#N/A</v>
          </cell>
          <cell r="G838" t="e">
            <v>#N/A</v>
          </cell>
          <cell r="H838" t="e">
            <v>#N/A</v>
          </cell>
          <cell r="I838" t="e">
            <v>#N/A</v>
          </cell>
        </row>
        <row r="839">
          <cell r="A839">
            <v>18840</v>
          </cell>
          <cell r="B839" t="e">
            <v>#N/A</v>
          </cell>
          <cell r="C839">
            <v>42.1</v>
          </cell>
          <cell r="D839" t="e">
            <v>#N/A</v>
          </cell>
          <cell r="E839" t="e">
            <v>#N/A</v>
          </cell>
          <cell r="F839" t="e">
            <v>#N/A</v>
          </cell>
          <cell r="G839" t="e">
            <v>#N/A</v>
          </cell>
          <cell r="H839" t="e">
            <v>#N/A</v>
          </cell>
          <cell r="I839" t="e">
            <v>#N/A</v>
          </cell>
        </row>
        <row r="840">
          <cell r="A840">
            <v>18809</v>
          </cell>
          <cell r="B840" t="e">
            <v>#N/A</v>
          </cell>
          <cell r="C840">
            <v>45.5</v>
          </cell>
          <cell r="D840" t="e">
            <v>#N/A</v>
          </cell>
          <cell r="E840" t="e">
            <v>#N/A</v>
          </cell>
          <cell r="F840" t="e">
            <v>#N/A</v>
          </cell>
          <cell r="G840" t="e">
            <v>#N/A</v>
          </cell>
          <cell r="H840" t="e">
            <v>#N/A</v>
          </cell>
          <cell r="I840" t="e">
            <v>#N/A</v>
          </cell>
        </row>
        <row r="841">
          <cell r="A841">
            <v>18779</v>
          </cell>
          <cell r="B841" t="e">
            <v>#N/A</v>
          </cell>
          <cell r="C841">
            <v>50.7</v>
          </cell>
          <cell r="D841" t="e">
            <v>#N/A</v>
          </cell>
          <cell r="E841" t="e">
            <v>#N/A</v>
          </cell>
          <cell r="F841" t="e">
            <v>#N/A</v>
          </cell>
          <cell r="G841" t="e">
            <v>#N/A</v>
          </cell>
          <cell r="H841" t="e">
            <v>#N/A</v>
          </cell>
          <cell r="I841" t="e">
            <v>#N/A</v>
          </cell>
        </row>
        <row r="842">
          <cell r="A842">
            <v>18748</v>
          </cell>
          <cell r="B842" t="e">
            <v>#N/A</v>
          </cell>
          <cell r="C842">
            <v>53.5</v>
          </cell>
          <cell r="D842" t="e">
            <v>#N/A</v>
          </cell>
          <cell r="E842" t="e">
            <v>#N/A</v>
          </cell>
          <cell r="F842" t="e">
            <v>#N/A</v>
          </cell>
          <cell r="G842" t="e">
            <v>#N/A</v>
          </cell>
          <cell r="H842" t="e">
            <v>#N/A</v>
          </cell>
          <cell r="I842" t="e">
            <v>#N/A</v>
          </cell>
        </row>
        <row r="843">
          <cell r="A843">
            <v>18718</v>
          </cell>
          <cell r="B843" t="e">
            <v>#N/A</v>
          </cell>
          <cell r="C843">
            <v>65.5</v>
          </cell>
          <cell r="D843" t="e">
            <v>#N/A</v>
          </cell>
          <cell r="E843" t="e">
            <v>#N/A</v>
          </cell>
          <cell r="F843" t="e">
            <v>#N/A</v>
          </cell>
          <cell r="G843" t="e">
            <v>#N/A</v>
          </cell>
          <cell r="H843" t="e">
            <v>#N/A</v>
          </cell>
          <cell r="I843" t="e">
            <v>#N/A</v>
          </cell>
        </row>
        <row r="844">
          <cell r="A844">
            <v>18687</v>
          </cell>
          <cell r="B844" t="e">
            <v>#N/A</v>
          </cell>
          <cell r="C844">
            <v>69.3</v>
          </cell>
          <cell r="D844" t="e">
            <v>#N/A</v>
          </cell>
          <cell r="E844" t="e">
            <v>#N/A</v>
          </cell>
          <cell r="F844" t="e">
            <v>#N/A</v>
          </cell>
          <cell r="G844" t="e">
            <v>#N/A</v>
          </cell>
          <cell r="H844" t="e">
            <v>#N/A</v>
          </cell>
          <cell r="I844" t="e">
            <v>#N/A</v>
          </cell>
        </row>
        <row r="845">
          <cell r="A845">
            <v>18659</v>
          </cell>
          <cell r="B845" t="e">
            <v>#N/A</v>
          </cell>
          <cell r="C845">
            <v>67.8</v>
          </cell>
          <cell r="D845" t="e">
            <v>#N/A</v>
          </cell>
          <cell r="E845" t="e">
            <v>#N/A</v>
          </cell>
          <cell r="F845" t="e">
            <v>#N/A</v>
          </cell>
          <cell r="G845" t="e">
            <v>#N/A</v>
          </cell>
          <cell r="H845" t="e">
            <v>#N/A</v>
          </cell>
          <cell r="I845" t="e">
            <v>#N/A</v>
          </cell>
        </row>
        <row r="846">
          <cell r="A846">
            <v>18628</v>
          </cell>
          <cell r="B846" t="e">
            <v>#N/A</v>
          </cell>
          <cell r="C846">
            <v>67.099999999999994</v>
          </cell>
          <cell r="D846" t="e">
            <v>#N/A</v>
          </cell>
          <cell r="E846" t="e">
            <v>#N/A</v>
          </cell>
          <cell r="F846" t="e">
            <v>#N/A</v>
          </cell>
          <cell r="G846" t="e">
            <v>#N/A</v>
          </cell>
          <cell r="H846" t="e">
            <v>#N/A</v>
          </cell>
          <cell r="I846" t="e">
            <v>#N/A</v>
          </cell>
        </row>
        <row r="847">
          <cell r="A847">
            <v>18597</v>
          </cell>
          <cell r="B847" t="e">
            <v>#N/A</v>
          </cell>
          <cell r="C847">
            <v>63.1</v>
          </cell>
          <cell r="D847" t="e">
            <v>#N/A</v>
          </cell>
          <cell r="E847" t="e">
            <v>#N/A</v>
          </cell>
          <cell r="F847" t="e">
            <v>#N/A</v>
          </cell>
          <cell r="G847" t="e">
            <v>#N/A</v>
          </cell>
          <cell r="H847" t="e">
            <v>#N/A</v>
          </cell>
          <cell r="I847" t="e">
            <v>#N/A</v>
          </cell>
        </row>
        <row r="848">
          <cell r="A848">
            <v>18567</v>
          </cell>
          <cell r="B848" t="e">
            <v>#N/A</v>
          </cell>
          <cell r="C848">
            <v>59.2</v>
          </cell>
          <cell r="D848" t="e">
            <v>#N/A</v>
          </cell>
          <cell r="E848" t="e">
            <v>#N/A</v>
          </cell>
          <cell r="F848" t="e">
            <v>#N/A</v>
          </cell>
          <cell r="G848" t="e">
            <v>#N/A</v>
          </cell>
          <cell r="H848" t="e">
            <v>#N/A</v>
          </cell>
          <cell r="I848" t="e">
            <v>#N/A</v>
          </cell>
        </row>
        <row r="849">
          <cell r="A849">
            <v>18536</v>
          </cell>
          <cell r="B849" t="e">
            <v>#N/A</v>
          </cell>
          <cell r="C849">
            <v>68.099999999999994</v>
          </cell>
          <cell r="D849" t="e">
            <v>#N/A</v>
          </cell>
          <cell r="E849" t="e">
            <v>#N/A</v>
          </cell>
          <cell r="F849" t="e">
            <v>#N/A</v>
          </cell>
          <cell r="G849" t="e">
            <v>#N/A</v>
          </cell>
          <cell r="H849" t="e">
            <v>#N/A</v>
          </cell>
          <cell r="I849" t="e">
            <v>#N/A</v>
          </cell>
        </row>
        <row r="850">
          <cell r="A850">
            <v>18506</v>
          </cell>
          <cell r="B850" t="e">
            <v>#N/A</v>
          </cell>
          <cell r="C850">
            <v>75.8</v>
          </cell>
          <cell r="D850" t="e">
            <v>#N/A</v>
          </cell>
          <cell r="E850" t="e">
            <v>#N/A</v>
          </cell>
          <cell r="F850" t="e">
            <v>#N/A</v>
          </cell>
          <cell r="G850" t="e">
            <v>#N/A</v>
          </cell>
          <cell r="H850" t="e">
            <v>#N/A</v>
          </cell>
          <cell r="I850" t="e">
            <v>#N/A</v>
          </cell>
        </row>
        <row r="851">
          <cell r="A851">
            <v>18475</v>
          </cell>
          <cell r="B851" t="e">
            <v>#N/A</v>
          </cell>
          <cell r="C851">
            <v>77.5</v>
          </cell>
          <cell r="D851" t="e">
            <v>#N/A</v>
          </cell>
          <cell r="E851" t="e">
            <v>#N/A</v>
          </cell>
          <cell r="F851" t="e">
            <v>#N/A</v>
          </cell>
          <cell r="G851" t="e">
            <v>#N/A</v>
          </cell>
          <cell r="H851" t="e">
            <v>#N/A</v>
          </cell>
          <cell r="I851" t="e">
            <v>#N/A</v>
          </cell>
        </row>
        <row r="852">
          <cell r="A852">
            <v>18444</v>
          </cell>
          <cell r="B852" t="e">
            <v>#N/A</v>
          </cell>
          <cell r="C852">
            <v>76.599999999999994</v>
          </cell>
          <cell r="D852" t="e">
            <v>#N/A</v>
          </cell>
          <cell r="E852" t="e">
            <v>#N/A</v>
          </cell>
          <cell r="F852" t="e">
            <v>#N/A</v>
          </cell>
          <cell r="G852" t="e">
            <v>#N/A</v>
          </cell>
          <cell r="H852" t="e">
            <v>#N/A</v>
          </cell>
          <cell r="I852" t="e">
            <v>#N/A</v>
          </cell>
        </row>
        <row r="853">
          <cell r="A853">
            <v>18414</v>
          </cell>
          <cell r="B853" t="e">
            <v>#N/A</v>
          </cell>
          <cell r="C853">
            <v>74.7</v>
          </cell>
          <cell r="D853" t="e">
            <v>#N/A</v>
          </cell>
          <cell r="E853" t="e">
            <v>#N/A</v>
          </cell>
          <cell r="F853" t="e">
            <v>#N/A</v>
          </cell>
          <cell r="G853" t="e">
            <v>#N/A</v>
          </cell>
          <cell r="H853" t="e">
            <v>#N/A</v>
          </cell>
          <cell r="I853" t="e">
            <v>#N/A</v>
          </cell>
        </row>
        <row r="854">
          <cell r="A854">
            <v>18383</v>
          </cell>
          <cell r="B854" t="e">
            <v>#N/A</v>
          </cell>
          <cell r="C854">
            <v>68.099999999999994</v>
          </cell>
          <cell r="D854" t="e">
            <v>#N/A</v>
          </cell>
          <cell r="E854" t="e">
            <v>#N/A</v>
          </cell>
          <cell r="F854" t="e">
            <v>#N/A</v>
          </cell>
          <cell r="G854" t="e">
            <v>#N/A</v>
          </cell>
          <cell r="H854" t="e">
            <v>#N/A</v>
          </cell>
          <cell r="I854" t="e">
            <v>#N/A</v>
          </cell>
        </row>
        <row r="855">
          <cell r="A855">
            <v>18353</v>
          </cell>
          <cell r="B855" t="e">
            <v>#N/A</v>
          </cell>
          <cell r="C855">
            <v>62.1</v>
          </cell>
          <cell r="D855" t="e">
            <v>#N/A</v>
          </cell>
          <cell r="E855" t="e">
            <v>#N/A</v>
          </cell>
          <cell r="F855" t="e">
            <v>#N/A</v>
          </cell>
          <cell r="G855" t="e">
            <v>#N/A</v>
          </cell>
          <cell r="H855" t="e">
            <v>#N/A</v>
          </cell>
          <cell r="I855" t="e">
            <v>#N/A</v>
          </cell>
        </row>
        <row r="856">
          <cell r="A856">
            <v>18322</v>
          </cell>
          <cell r="B856" t="e">
            <v>#N/A</v>
          </cell>
          <cell r="C856">
            <v>60.5</v>
          </cell>
          <cell r="D856" t="e">
            <v>#N/A</v>
          </cell>
          <cell r="E856" t="e">
            <v>#N/A</v>
          </cell>
          <cell r="F856" t="e">
            <v>#N/A</v>
          </cell>
          <cell r="G856" t="e">
            <v>#N/A</v>
          </cell>
          <cell r="H856" t="e">
            <v>#N/A</v>
          </cell>
          <cell r="I856" t="e">
            <v>#N/A</v>
          </cell>
        </row>
        <row r="857">
          <cell r="A857">
            <v>18294</v>
          </cell>
          <cell r="B857" t="e">
            <v>#N/A</v>
          </cell>
          <cell r="C857">
            <v>59.1</v>
          </cell>
          <cell r="D857" t="e">
            <v>#N/A</v>
          </cell>
          <cell r="E857" t="e">
            <v>#N/A</v>
          </cell>
          <cell r="F857" t="e">
            <v>#N/A</v>
          </cell>
          <cell r="G857" t="e">
            <v>#N/A</v>
          </cell>
          <cell r="H857" t="e">
            <v>#N/A</v>
          </cell>
          <cell r="I857" t="e">
            <v>#N/A</v>
          </cell>
        </row>
        <row r="858">
          <cell r="A858">
            <v>18263</v>
          </cell>
          <cell r="B858" t="e">
            <v>#N/A</v>
          </cell>
          <cell r="C858">
            <v>57.3</v>
          </cell>
          <cell r="D858" t="e">
            <v>#N/A</v>
          </cell>
          <cell r="E858" t="e">
            <v>#N/A</v>
          </cell>
          <cell r="F858" t="e">
            <v>#N/A</v>
          </cell>
          <cell r="G858" t="e">
            <v>#N/A</v>
          </cell>
          <cell r="H858" t="e">
            <v>#N/A</v>
          </cell>
          <cell r="I858" t="e">
            <v>#N/A</v>
          </cell>
        </row>
        <row r="859">
          <cell r="A859">
            <v>18232</v>
          </cell>
          <cell r="B859" t="e">
            <v>#N/A</v>
          </cell>
          <cell r="C859">
            <v>51</v>
          </cell>
          <cell r="D859" t="e">
            <v>#N/A</v>
          </cell>
          <cell r="E859" t="e">
            <v>#N/A</v>
          </cell>
          <cell r="F859" t="e">
            <v>#N/A</v>
          </cell>
          <cell r="G859" t="e">
            <v>#N/A</v>
          </cell>
          <cell r="H859" t="e">
            <v>#N/A</v>
          </cell>
          <cell r="I859" t="e">
            <v>#N/A</v>
          </cell>
        </row>
        <row r="860">
          <cell r="A860">
            <v>18202</v>
          </cell>
          <cell r="B860" t="e">
            <v>#N/A</v>
          </cell>
          <cell r="C860">
            <v>51</v>
          </cell>
          <cell r="D860" t="e">
            <v>#N/A</v>
          </cell>
          <cell r="E860" t="e">
            <v>#N/A</v>
          </cell>
          <cell r="F860" t="e">
            <v>#N/A</v>
          </cell>
          <cell r="G860" t="e">
            <v>#N/A</v>
          </cell>
          <cell r="H860" t="e">
            <v>#N/A</v>
          </cell>
          <cell r="I860" t="e">
            <v>#N/A</v>
          </cell>
        </row>
        <row r="861">
          <cell r="A861">
            <v>18171</v>
          </cell>
          <cell r="B861" t="e">
            <v>#N/A</v>
          </cell>
          <cell r="C861">
            <v>52.3</v>
          </cell>
          <cell r="D861" t="e">
            <v>#N/A</v>
          </cell>
          <cell r="E861" t="e">
            <v>#N/A</v>
          </cell>
          <cell r="F861" t="e">
            <v>#N/A</v>
          </cell>
          <cell r="G861" t="e">
            <v>#N/A</v>
          </cell>
          <cell r="H861" t="e">
            <v>#N/A</v>
          </cell>
          <cell r="I861" t="e">
            <v>#N/A</v>
          </cell>
        </row>
        <row r="862">
          <cell r="A862">
            <v>18141</v>
          </cell>
          <cell r="B862" t="e">
            <v>#N/A</v>
          </cell>
          <cell r="C862">
            <v>47</v>
          </cell>
          <cell r="D862" t="e">
            <v>#N/A</v>
          </cell>
          <cell r="E862" t="e">
            <v>#N/A</v>
          </cell>
          <cell r="F862" t="e">
            <v>#N/A</v>
          </cell>
          <cell r="G862" t="e">
            <v>#N/A</v>
          </cell>
          <cell r="H862" t="e">
            <v>#N/A</v>
          </cell>
          <cell r="I862" t="e">
            <v>#N/A</v>
          </cell>
        </row>
        <row r="863">
          <cell r="A863">
            <v>18110</v>
          </cell>
          <cell r="B863" t="e">
            <v>#N/A</v>
          </cell>
          <cell r="C863">
            <v>39</v>
          </cell>
          <cell r="D863" t="e">
            <v>#N/A</v>
          </cell>
          <cell r="E863" t="e">
            <v>#N/A</v>
          </cell>
          <cell r="F863" t="e">
            <v>#N/A</v>
          </cell>
          <cell r="G863" t="e">
            <v>#N/A</v>
          </cell>
          <cell r="H863" t="e">
            <v>#N/A</v>
          </cell>
          <cell r="I863" t="e">
            <v>#N/A</v>
          </cell>
        </row>
        <row r="864">
          <cell r="A864">
            <v>18079</v>
          </cell>
          <cell r="B864" t="e">
            <v>#N/A</v>
          </cell>
          <cell r="C864">
            <v>31.6</v>
          </cell>
          <cell r="D864" t="e">
            <v>#N/A</v>
          </cell>
          <cell r="E864" t="e">
            <v>#N/A</v>
          </cell>
          <cell r="F864" t="e">
            <v>#N/A</v>
          </cell>
          <cell r="G864" t="e">
            <v>#N/A</v>
          </cell>
          <cell r="H864" t="e">
            <v>#N/A</v>
          </cell>
          <cell r="I864" t="e">
            <v>#N/A</v>
          </cell>
        </row>
        <row r="865">
          <cell r="A865">
            <v>18049</v>
          </cell>
          <cell r="B865" t="e">
            <v>#N/A</v>
          </cell>
          <cell r="C865">
            <v>32.6</v>
          </cell>
          <cell r="D865" t="e">
            <v>#N/A</v>
          </cell>
          <cell r="E865" t="e">
            <v>#N/A</v>
          </cell>
          <cell r="F865" t="e">
            <v>#N/A</v>
          </cell>
          <cell r="G865" t="e">
            <v>#N/A</v>
          </cell>
          <cell r="H865" t="e">
            <v>#N/A</v>
          </cell>
          <cell r="I865" t="e">
            <v>#N/A</v>
          </cell>
        </row>
        <row r="866">
          <cell r="A866">
            <v>18018</v>
          </cell>
          <cell r="B866" t="e">
            <v>#N/A</v>
          </cell>
          <cell r="C866">
            <v>35.5</v>
          </cell>
          <cell r="D866" t="e">
            <v>#N/A</v>
          </cell>
          <cell r="E866" t="e">
            <v>#N/A</v>
          </cell>
          <cell r="F866" t="e">
            <v>#N/A</v>
          </cell>
          <cell r="G866" t="e">
            <v>#N/A</v>
          </cell>
          <cell r="H866" t="e">
            <v>#N/A</v>
          </cell>
          <cell r="I866" t="e">
            <v>#N/A</v>
          </cell>
        </row>
        <row r="867">
          <cell r="A867">
            <v>17988</v>
          </cell>
          <cell r="B867" t="e">
            <v>#N/A</v>
          </cell>
          <cell r="C867">
            <v>34.5</v>
          </cell>
          <cell r="D867" t="e">
            <v>#N/A</v>
          </cell>
          <cell r="E867" t="e">
            <v>#N/A</v>
          </cell>
          <cell r="F867" t="e">
            <v>#N/A</v>
          </cell>
          <cell r="G867" t="e">
            <v>#N/A</v>
          </cell>
          <cell r="H867" t="e">
            <v>#N/A</v>
          </cell>
          <cell r="I867" t="e">
            <v>#N/A</v>
          </cell>
        </row>
        <row r="868">
          <cell r="A868">
            <v>17957</v>
          </cell>
          <cell r="B868" t="e">
            <v>#N/A</v>
          </cell>
          <cell r="C868">
            <v>31.3</v>
          </cell>
          <cell r="D868" t="e">
            <v>#N/A</v>
          </cell>
          <cell r="E868" t="e">
            <v>#N/A</v>
          </cell>
          <cell r="F868" t="e">
            <v>#N/A</v>
          </cell>
          <cell r="G868" t="e">
            <v>#N/A</v>
          </cell>
          <cell r="H868" t="e">
            <v>#N/A</v>
          </cell>
          <cell r="I868" t="e">
            <v>#N/A</v>
          </cell>
        </row>
        <row r="869">
          <cell r="A869">
            <v>17929</v>
          </cell>
          <cell r="B869" t="e">
            <v>#N/A</v>
          </cell>
          <cell r="C869">
            <v>32.9</v>
          </cell>
          <cell r="D869" t="e">
            <v>#N/A</v>
          </cell>
          <cell r="E869" t="e">
            <v>#N/A</v>
          </cell>
          <cell r="F869" t="e">
            <v>#N/A</v>
          </cell>
          <cell r="G869" t="e">
            <v>#N/A</v>
          </cell>
          <cell r="H869" t="e">
            <v>#N/A</v>
          </cell>
          <cell r="I869" t="e">
            <v>#N/A</v>
          </cell>
        </row>
        <row r="870">
          <cell r="A870">
            <v>17898</v>
          </cell>
          <cell r="B870" t="e">
            <v>#N/A</v>
          </cell>
          <cell r="C870">
            <v>35</v>
          </cell>
          <cell r="D870" t="e">
            <v>#N/A</v>
          </cell>
          <cell r="E870" t="e">
            <v>#N/A</v>
          </cell>
          <cell r="F870" t="e">
            <v>#N/A</v>
          </cell>
          <cell r="G870" t="e">
            <v>#N/A</v>
          </cell>
          <cell r="H870" t="e">
            <v>#N/A</v>
          </cell>
          <cell r="I870" t="e">
            <v>#N/A</v>
          </cell>
        </row>
        <row r="871">
          <cell r="A871">
            <v>17867</v>
          </cell>
          <cell r="B871" t="e">
            <v>#N/A</v>
          </cell>
          <cell r="C871">
            <v>42.4</v>
          </cell>
          <cell r="D871" t="e">
            <v>#N/A</v>
          </cell>
          <cell r="E871" t="e">
            <v>#N/A</v>
          </cell>
          <cell r="F871" t="e">
            <v>#N/A</v>
          </cell>
          <cell r="G871" t="e">
            <v>#N/A</v>
          </cell>
          <cell r="H871" t="e">
            <v>#N/A</v>
          </cell>
          <cell r="I871" t="e">
            <v>#N/A</v>
          </cell>
        </row>
        <row r="872">
          <cell r="A872">
            <v>17837</v>
          </cell>
          <cell r="B872" t="e">
            <v>#N/A</v>
          </cell>
          <cell r="C872">
            <v>47.2</v>
          </cell>
          <cell r="D872" t="e">
            <v>#N/A</v>
          </cell>
          <cell r="E872" t="e">
            <v>#N/A</v>
          </cell>
          <cell r="F872" t="e">
            <v>#N/A</v>
          </cell>
          <cell r="G872" t="e">
            <v>#N/A</v>
          </cell>
          <cell r="H872" t="e">
            <v>#N/A</v>
          </cell>
          <cell r="I872" t="e">
            <v>#N/A</v>
          </cell>
        </row>
        <row r="873">
          <cell r="A873">
            <v>17806</v>
          </cell>
          <cell r="B873" t="e">
            <v>#N/A</v>
          </cell>
          <cell r="C873">
            <v>42.1</v>
          </cell>
          <cell r="D873" t="e">
            <v>#N/A</v>
          </cell>
          <cell r="E873" t="e">
            <v>#N/A</v>
          </cell>
          <cell r="F873" t="e">
            <v>#N/A</v>
          </cell>
          <cell r="G873" t="e">
            <v>#N/A</v>
          </cell>
          <cell r="H873" t="e">
            <v>#N/A</v>
          </cell>
          <cell r="I873" t="e">
            <v>#N/A</v>
          </cell>
        </row>
        <row r="874">
          <cell r="A874">
            <v>17776</v>
          </cell>
          <cell r="B874" t="e">
            <v>#N/A</v>
          </cell>
          <cell r="C874">
            <v>45.1</v>
          </cell>
          <cell r="D874" t="e">
            <v>#N/A</v>
          </cell>
          <cell r="E874" t="e">
            <v>#N/A</v>
          </cell>
          <cell r="F874" t="e">
            <v>#N/A</v>
          </cell>
          <cell r="G874" t="e">
            <v>#N/A</v>
          </cell>
          <cell r="H874" t="e">
            <v>#N/A</v>
          </cell>
          <cell r="I874" t="e">
            <v>#N/A</v>
          </cell>
        </row>
        <row r="875">
          <cell r="A875">
            <v>17745</v>
          </cell>
          <cell r="B875" t="e">
            <v>#N/A</v>
          </cell>
          <cell r="C875">
            <v>48.4</v>
          </cell>
          <cell r="D875" t="e">
            <v>#N/A</v>
          </cell>
          <cell r="E875" t="e">
            <v>#N/A</v>
          </cell>
          <cell r="F875" t="e">
            <v>#N/A</v>
          </cell>
          <cell r="G875" t="e">
            <v>#N/A</v>
          </cell>
          <cell r="H875" t="e">
            <v>#N/A</v>
          </cell>
          <cell r="I875" t="e">
            <v>#N/A</v>
          </cell>
        </row>
        <row r="876">
          <cell r="A876">
            <v>17714</v>
          </cell>
          <cell r="B876" t="e">
            <v>#N/A</v>
          </cell>
          <cell r="C876">
            <v>53</v>
          </cell>
          <cell r="D876" t="e">
            <v>#N/A</v>
          </cell>
          <cell r="E876" t="e">
            <v>#N/A</v>
          </cell>
          <cell r="F876" t="e">
            <v>#N/A</v>
          </cell>
          <cell r="G876" t="e">
            <v>#N/A</v>
          </cell>
          <cell r="H876" t="e">
            <v>#N/A</v>
          </cell>
          <cell r="I876" t="e">
            <v>#N/A</v>
          </cell>
        </row>
        <row r="877">
          <cell r="A877">
            <v>17684</v>
          </cell>
          <cell r="B877" t="e">
            <v>#N/A</v>
          </cell>
          <cell r="C877">
            <v>49.5</v>
          </cell>
          <cell r="D877" t="e">
            <v>#N/A</v>
          </cell>
          <cell r="E877" t="e">
            <v>#N/A</v>
          </cell>
          <cell r="F877" t="e">
            <v>#N/A</v>
          </cell>
          <cell r="G877" t="e">
            <v>#N/A</v>
          </cell>
          <cell r="H877" t="e">
            <v>#N/A</v>
          </cell>
          <cell r="I877" t="e">
            <v>#N/A</v>
          </cell>
        </row>
        <row r="878">
          <cell r="A878">
            <v>17653</v>
          </cell>
          <cell r="B878" t="e">
            <v>#N/A</v>
          </cell>
          <cell r="C878">
            <v>45.4</v>
          </cell>
          <cell r="D878" t="e">
            <v>#N/A</v>
          </cell>
          <cell r="E878" t="e">
            <v>#N/A</v>
          </cell>
          <cell r="F878" t="e">
            <v>#N/A</v>
          </cell>
          <cell r="G878" t="e">
            <v>#N/A</v>
          </cell>
          <cell r="H878" t="e">
            <v>#N/A</v>
          </cell>
          <cell r="I878" t="e">
            <v>#N/A</v>
          </cell>
        </row>
        <row r="879">
          <cell r="A879">
            <v>17623</v>
          </cell>
          <cell r="B879" t="e">
            <v>#N/A</v>
          </cell>
          <cell r="C879">
            <v>43.3</v>
          </cell>
          <cell r="D879" t="e">
            <v>#N/A</v>
          </cell>
          <cell r="E879" t="e">
            <v>#N/A</v>
          </cell>
          <cell r="F879" t="e">
            <v>#N/A</v>
          </cell>
          <cell r="G879" t="e">
            <v>#N/A</v>
          </cell>
          <cell r="H879" t="e">
            <v>#N/A</v>
          </cell>
          <cell r="I879" t="e">
            <v>#N/A</v>
          </cell>
        </row>
        <row r="880">
          <cell r="A880">
            <v>17592</v>
          </cell>
          <cell r="B880" t="e">
            <v>#N/A</v>
          </cell>
          <cell r="C880">
            <v>50.2</v>
          </cell>
          <cell r="D880" t="e">
            <v>#N/A</v>
          </cell>
          <cell r="E880" t="e">
            <v>#N/A</v>
          </cell>
          <cell r="F880" t="e">
            <v>#N/A</v>
          </cell>
          <cell r="G880" t="e">
            <v>#N/A</v>
          </cell>
          <cell r="H880" t="e">
            <v>#N/A</v>
          </cell>
          <cell r="I880" t="e">
            <v>#N/A</v>
          </cell>
        </row>
        <row r="881">
          <cell r="A881">
            <v>17563</v>
          </cell>
          <cell r="B881" t="e">
            <v>#N/A</v>
          </cell>
          <cell r="C881">
            <v>51.7</v>
          </cell>
          <cell r="D881" t="e">
            <v>#N/A</v>
          </cell>
          <cell r="E881" t="e">
            <v>#N/A</v>
          </cell>
          <cell r="F881" t="e">
            <v>#N/A</v>
          </cell>
          <cell r="G881" t="e">
            <v>#N/A</v>
          </cell>
          <cell r="H881" t="e">
            <v>#N/A</v>
          </cell>
          <cell r="I881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8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ColWidth="8.75" defaultRowHeight="18" customHeight="1" x14ac:dyDescent="0.25"/>
  <cols>
    <col min="1" max="1" width="16" style="15" bestFit="1" customWidth="1"/>
    <col min="2" max="3" width="12.75" style="16" customWidth="1"/>
    <col min="4" max="8" width="12.75" style="17" customWidth="1"/>
    <col min="9" max="9" width="12.75" style="16" customWidth="1"/>
    <col min="10" max="11" width="12.75" style="48" customWidth="1"/>
    <col min="12" max="16384" width="8.75" style="12"/>
  </cols>
  <sheetData>
    <row r="1" spans="1:11" s="9" customFormat="1" ht="28.9" customHeight="1" x14ac:dyDescent="0.3">
      <c r="A1" s="6" t="s">
        <v>27</v>
      </c>
      <c r="B1" s="7"/>
      <c r="C1" s="7"/>
      <c r="D1" s="8"/>
      <c r="E1" s="8"/>
      <c r="F1" s="8"/>
      <c r="G1" s="8"/>
      <c r="H1" s="8"/>
      <c r="I1" s="7"/>
      <c r="J1" s="47"/>
      <c r="K1" s="47"/>
    </row>
    <row r="2" spans="1:11" ht="18" customHeight="1" thickBot="1" x14ac:dyDescent="0.3">
      <c r="A2" s="10" t="s">
        <v>18</v>
      </c>
      <c r="B2" s="75" t="s">
        <v>17</v>
      </c>
      <c r="C2" s="76" t="s">
        <v>2</v>
      </c>
      <c r="D2" s="11" t="s">
        <v>35</v>
      </c>
      <c r="E2" s="11" t="s">
        <v>28</v>
      </c>
      <c r="F2" s="11" t="s">
        <v>30</v>
      </c>
      <c r="G2" s="11" t="s">
        <v>31</v>
      </c>
      <c r="H2" s="11" t="s">
        <v>29</v>
      </c>
      <c r="I2" s="81" t="s">
        <v>32</v>
      </c>
      <c r="J2" s="82" t="s">
        <v>33</v>
      </c>
      <c r="K2" s="76" t="s">
        <v>37</v>
      </c>
    </row>
    <row r="3" spans="1:11" ht="18" customHeight="1" x14ac:dyDescent="0.25">
      <c r="A3" s="4">
        <v>44255</v>
      </c>
      <c r="B3" s="77">
        <f>81</f>
        <v>81</v>
      </c>
      <c r="C3" s="78">
        <v>76</v>
      </c>
      <c r="D3" s="13">
        <f>60.8</f>
        <v>60.8</v>
      </c>
      <c r="E3" s="13">
        <f>9.2</f>
        <v>9.1999999999999993</v>
      </c>
      <c r="F3" s="13">
        <f>2.1</f>
        <v>2.1</v>
      </c>
      <c r="G3" s="13">
        <f>1.1</f>
        <v>1.1000000000000001</v>
      </c>
      <c r="H3" s="13">
        <f>10.7</f>
        <v>10.7</v>
      </c>
      <c r="I3" s="83">
        <f>6.3</f>
        <v>6.3</v>
      </c>
      <c r="J3" s="84">
        <f>data비교작업!S6*100</f>
        <v>6.0322854715378034</v>
      </c>
      <c r="K3" s="85">
        <v>2.556709297845444</v>
      </c>
    </row>
    <row r="4" spans="1:11" ht="18" customHeight="1" x14ac:dyDescent="0.25">
      <c r="A4" s="5">
        <v>44227</v>
      </c>
      <c r="B4" s="79">
        <f>78</f>
        <v>78</v>
      </c>
      <c r="C4" s="80">
        <v>77</v>
      </c>
      <c r="D4" s="14">
        <f>58.7</f>
        <v>58.7</v>
      </c>
      <c r="E4" s="14">
        <f>11.4</f>
        <v>11.4</v>
      </c>
      <c r="F4" s="14">
        <f>0.9</f>
        <v>0.9</v>
      </c>
      <c r="G4" s="14">
        <f>0.6</f>
        <v>0.6</v>
      </c>
      <c r="H4" s="14">
        <f>10.1</f>
        <v>10.1</v>
      </c>
      <c r="I4" s="86">
        <f>6.2</f>
        <v>6.2</v>
      </c>
      <c r="J4" s="87">
        <f>data비교작업!S7*100</f>
        <v>5.6170212765957395</v>
      </c>
      <c r="K4" s="85">
        <v>2.3187760881120574</v>
      </c>
    </row>
    <row r="5" spans="1:11" ht="18" customHeight="1" x14ac:dyDescent="0.25">
      <c r="A5" s="5">
        <v>44196</v>
      </c>
      <c r="B5" s="79">
        <f>74</f>
        <v>74</v>
      </c>
      <c r="C5" s="80">
        <v>75</v>
      </c>
      <c r="D5" s="14">
        <f>60.5</f>
        <v>60.5</v>
      </c>
      <c r="E5" s="14">
        <f>12.4</f>
        <v>12.4</v>
      </c>
      <c r="F5" s="14">
        <f>0.2</f>
        <v>0.2</v>
      </c>
      <c r="G5" s="14">
        <f>0.5</f>
        <v>0.5</v>
      </c>
      <c r="H5" s="14">
        <f>9.8</f>
        <v>9.8000000000000007</v>
      </c>
      <c r="I5" s="86">
        <f>5.9</f>
        <v>5.9</v>
      </c>
      <c r="J5" s="87">
        <f>data비교작업!S8*100</f>
        <v>5.3800170794193098</v>
      </c>
      <c r="K5" s="85">
        <v>2.1062615738998152</v>
      </c>
    </row>
    <row r="6" spans="1:11" ht="18" customHeight="1" x14ac:dyDescent="0.25">
      <c r="A6" s="5">
        <v>44165</v>
      </c>
      <c r="B6" s="79">
        <f>76</f>
        <v>76</v>
      </c>
      <c r="C6" s="80">
        <v>78</v>
      </c>
      <c r="D6" s="14">
        <f>57.7</f>
        <v>57.7</v>
      </c>
      <c r="E6" s="14">
        <f>3.9</f>
        <v>3.9</v>
      </c>
      <c r="F6" s="14">
        <f>-0.3</f>
        <v>-0.3</v>
      </c>
      <c r="G6" s="14">
        <f>0.6</f>
        <v>0.6</v>
      </c>
      <c r="H6" s="14">
        <f>9.7</f>
        <v>9.6999999999999993</v>
      </c>
      <c r="I6" s="86">
        <f>5.6</f>
        <v>5.6</v>
      </c>
      <c r="J6" s="87">
        <f>data비교작업!S9*100</f>
        <v>5.4170249355116056</v>
      </c>
      <c r="K6" s="85">
        <v>1.9289466391849399</v>
      </c>
    </row>
    <row r="7" spans="1:11" ht="18" customHeight="1" x14ac:dyDescent="0.25">
      <c r="A7" s="5">
        <v>44135</v>
      </c>
      <c r="B7" s="79">
        <f>73</f>
        <v>73</v>
      </c>
      <c r="C7" s="80">
        <v>74</v>
      </c>
      <c r="D7" s="14">
        <f>58.8</f>
        <v>58.8</v>
      </c>
      <c r="E7" s="14">
        <f>-3.8</f>
        <v>-3.8</v>
      </c>
      <c r="F7" s="14">
        <f>-0.5</f>
        <v>-0.5</v>
      </c>
      <c r="G7" s="14">
        <f>0.1</f>
        <v>0.1</v>
      </c>
      <c r="H7" s="14">
        <f>9.7</f>
        <v>9.6999999999999993</v>
      </c>
      <c r="I7" s="86">
        <f>5</f>
        <v>5</v>
      </c>
      <c r="J7" s="87">
        <f>data비교작업!S10*100</f>
        <v>5.1903114186851216</v>
      </c>
      <c r="K7" s="85">
        <v>1.726622375712356</v>
      </c>
    </row>
    <row r="8" spans="1:11" ht="18" customHeight="1" x14ac:dyDescent="0.25">
      <c r="A8" s="5">
        <v>44104</v>
      </c>
      <c r="B8" s="79">
        <f>63</f>
        <v>63</v>
      </c>
      <c r="C8" s="80">
        <v>64</v>
      </c>
      <c r="D8" s="14">
        <f>55.7</f>
        <v>55.7</v>
      </c>
      <c r="E8" s="14">
        <f>7.3</f>
        <v>7.3</v>
      </c>
      <c r="F8" s="14">
        <f>-0.4</f>
        <v>-0.4</v>
      </c>
      <c r="G8" s="14">
        <f>1</f>
        <v>1</v>
      </c>
      <c r="H8" s="14">
        <f>9.2</f>
        <v>9.1999999999999993</v>
      </c>
      <c r="I8" s="86">
        <f>4.6</f>
        <v>4.5999999999999996</v>
      </c>
      <c r="J8" s="87">
        <f>data비교작업!S11*100</f>
        <v>5.221932114882506</v>
      </c>
      <c r="K8" s="85">
        <v>1.4611616435647414</v>
      </c>
    </row>
    <row r="9" spans="1:11" ht="18" customHeight="1" x14ac:dyDescent="0.25">
      <c r="A9" s="5">
        <v>44074</v>
      </c>
      <c r="B9" s="79">
        <f>66</f>
        <v>66</v>
      </c>
      <c r="C9" s="80">
        <v>66</v>
      </c>
      <c r="D9" s="14">
        <f>55.6</f>
        <v>55.6</v>
      </c>
      <c r="E9" s="14">
        <f>-10.2</f>
        <v>-10.199999999999999</v>
      </c>
      <c r="F9" s="14">
        <f>-0.5</f>
        <v>-0.5</v>
      </c>
      <c r="G9" s="14">
        <f>0.7</f>
        <v>0.7</v>
      </c>
      <c r="H9" s="14">
        <f>9.5</f>
        <v>9.5</v>
      </c>
      <c r="I9" s="86">
        <f>4.1</f>
        <v>4.0999999999999996</v>
      </c>
      <c r="J9" s="87">
        <f>data비교작업!S12*100</f>
        <v>4.8951048951048897</v>
      </c>
      <c r="K9" s="85">
        <v>1.1290698608683563</v>
      </c>
    </row>
    <row r="10" spans="1:11" ht="18" customHeight="1" x14ac:dyDescent="0.25">
      <c r="A10" s="5">
        <v>44043</v>
      </c>
      <c r="B10" s="79">
        <f>63</f>
        <v>63</v>
      </c>
      <c r="C10" s="80">
        <v>62</v>
      </c>
      <c r="D10" s="14">
        <f>53.7</f>
        <v>53.7</v>
      </c>
      <c r="E10" s="14">
        <f>-7.1</f>
        <v>-7.1</v>
      </c>
      <c r="F10" s="14">
        <f>-0.8</f>
        <v>-0.8</v>
      </c>
      <c r="G10" s="14">
        <f>0.3</f>
        <v>0.3</v>
      </c>
      <c r="H10" s="14">
        <f>10</f>
        <v>10</v>
      </c>
      <c r="I10" s="86">
        <f>3.6</f>
        <v>3.6</v>
      </c>
      <c r="J10" s="87">
        <f>data비교작업!S13*100</f>
        <v>4.2944785276073674</v>
      </c>
      <c r="K10" s="85">
        <v>0.77362021707512751</v>
      </c>
    </row>
    <row r="11" spans="1:11" ht="18" customHeight="1" x14ac:dyDescent="0.25">
      <c r="A11" s="5">
        <v>44012</v>
      </c>
      <c r="B11" s="79">
        <f>57</f>
        <v>57</v>
      </c>
      <c r="C11" s="80">
        <v>56</v>
      </c>
      <c r="D11" s="14">
        <f>52.2</f>
        <v>52.2</v>
      </c>
      <c r="E11" s="14">
        <f>-10.8</f>
        <v>-10.8</v>
      </c>
      <c r="F11" s="14">
        <f>-1</f>
        <v>-1</v>
      </c>
      <c r="G11" s="14">
        <f>0</f>
        <v>0</v>
      </c>
      <c r="H11" s="14">
        <f>9.9</f>
        <v>9.9</v>
      </c>
      <c r="I11" s="86">
        <f>3.2</f>
        <v>3.2</v>
      </c>
      <c r="J11" s="87">
        <f>data비교작업!S14*100</f>
        <v>3.6809815950920268</v>
      </c>
      <c r="K11" s="85">
        <v>0.43894803484012918</v>
      </c>
    </row>
    <row r="12" spans="1:11" ht="18" customHeight="1" x14ac:dyDescent="0.25">
      <c r="A12" s="5">
        <v>43982</v>
      </c>
      <c r="B12" s="79">
        <f>52</f>
        <v>52</v>
      </c>
      <c r="C12" s="80">
        <v>53</v>
      </c>
      <c r="D12" s="14">
        <f>43.1</f>
        <v>43.1</v>
      </c>
      <c r="E12" s="14">
        <f>-23.8</f>
        <v>-23.8</v>
      </c>
      <c r="F12" s="14">
        <f>-1.8</f>
        <v>-1.8</v>
      </c>
      <c r="G12" s="14">
        <f>-0.3</f>
        <v>-0.3</v>
      </c>
      <c r="H12" s="14">
        <f>9.9</f>
        <v>9.9</v>
      </c>
      <c r="I12" s="86">
        <f>2.9</f>
        <v>2.9</v>
      </c>
      <c r="J12" s="87">
        <f>data비교작업!S15*100</f>
        <v>3.0674846625766872</v>
      </c>
      <c r="K12" s="85">
        <v>0.17548635149972411</v>
      </c>
    </row>
    <row r="13" spans="1:11" ht="18" customHeight="1" x14ac:dyDescent="0.25">
      <c r="A13" s="5">
        <v>43951</v>
      </c>
      <c r="B13" s="79">
        <f>55</f>
        <v>55</v>
      </c>
      <c r="C13" s="80">
        <v>51</v>
      </c>
      <c r="D13" s="14">
        <f>41.7</f>
        <v>41.7</v>
      </c>
      <c r="E13" s="14">
        <f>-25.6</f>
        <v>-25.6</v>
      </c>
      <c r="F13" s="14">
        <f>-1.7</f>
        <v>-1.7</v>
      </c>
      <c r="G13" s="14">
        <f>0.1</f>
        <v>0.1</v>
      </c>
      <c r="H13" s="14">
        <f>9.1</f>
        <v>9.1</v>
      </c>
      <c r="I13" s="86">
        <f>3.1</f>
        <v>3.1</v>
      </c>
      <c r="J13" s="87">
        <f>data비교작업!S16*100</f>
        <v>3.070175438596491</v>
      </c>
      <c r="K13" s="85">
        <v>-1.56029179577379E-2</v>
      </c>
    </row>
    <row r="14" spans="1:11" ht="18" customHeight="1" x14ac:dyDescent="0.25">
      <c r="A14" s="5">
        <v>43921</v>
      </c>
      <c r="B14" s="79">
        <f>57</f>
        <v>57</v>
      </c>
      <c r="C14" s="80">
        <v>54</v>
      </c>
      <c r="D14" s="14">
        <f>49.7</f>
        <v>49.7</v>
      </c>
      <c r="E14" s="14">
        <f>-1.8</f>
        <v>-1.8</v>
      </c>
      <c r="F14" s="14">
        <f>-0.5</f>
        <v>-0.5</v>
      </c>
      <c r="G14" s="14">
        <f>1</f>
        <v>1</v>
      </c>
      <c r="H14" s="14">
        <f>8.4</f>
        <v>8.4</v>
      </c>
      <c r="I14" s="86">
        <f>3.2</f>
        <v>3.2</v>
      </c>
      <c r="J14" s="87">
        <f>data비교작업!S17*100</f>
        <v>3.2541776605101167</v>
      </c>
      <c r="K14" s="85">
        <v>-0.15330380285211745</v>
      </c>
    </row>
    <row r="15" spans="1:11" ht="18" customHeight="1" x14ac:dyDescent="0.25">
      <c r="A15" s="5">
        <v>43890</v>
      </c>
      <c r="B15" s="79">
        <f>70</f>
        <v>70</v>
      </c>
      <c r="C15" s="80">
        <v>65</v>
      </c>
      <c r="D15" s="14">
        <f>50.3</f>
        <v>50.3</v>
      </c>
      <c r="E15" s="14">
        <f>3.6</f>
        <v>3.6</v>
      </c>
      <c r="F15" s="14">
        <f>0.7</f>
        <v>0.7</v>
      </c>
      <c r="G15" s="14">
        <f>1.1</f>
        <v>1.1000000000000001</v>
      </c>
      <c r="H15" s="14">
        <f>8.2</f>
        <v>8.1999999999999993</v>
      </c>
      <c r="I15" s="86">
        <f>3.8</f>
        <v>3.8</v>
      </c>
      <c r="J15" s="87">
        <f>data비교작업!S18*100</f>
        <v>2.8846153846153819</v>
      </c>
      <c r="K15" s="85">
        <v>-0.24401018959148124</v>
      </c>
    </row>
    <row r="16" spans="1:11" ht="18" customHeight="1" x14ac:dyDescent="0.25">
      <c r="A16" s="5">
        <v>43861</v>
      </c>
      <c r="B16" s="79">
        <f>79</f>
        <v>79</v>
      </c>
      <c r="C16" s="80">
        <v>75</v>
      </c>
      <c r="D16" s="14">
        <f>51.1</f>
        <v>51.1</v>
      </c>
      <c r="E16" s="14">
        <f>-6.6</f>
        <v>-6.6</v>
      </c>
      <c r="F16" s="14">
        <f>1.1</f>
        <v>1.1000000000000001</v>
      </c>
      <c r="G16" s="14">
        <f>1.5</f>
        <v>1.5</v>
      </c>
      <c r="H16" s="14">
        <f>7.8</f>
        <v>7.8</v>
      </c>
      <c r="I16" s="86">
        <f>3.8</f>
        <v>3.8</v>
      </c>
      <c r="J16" s="87">
        <f>data비교작업!S19*100</f>
        <v>2.8896672504378258</v>
      </c>
      <c r="K16" s="85">
        <v>-0.33503160927205761</v>
      </c>
    </row>
    <row r="17" spans="1:11" ht="18" customHeight="1" x14ac:dyDescent="0.25">
      <c r="A17" s="5">
        <v>43830</v>
      </c>
      <c r="B17" s="79">
        <f>81</f>
        <v>81</v>
      </c>
      <c r="C17" s="80">
        <v>76</v>
      </c>
      <c r="D17" s="14">
        <f>47.7</f>
        <v>47.7</v>
      </c>
      <c r="E17" s="14">
        <f>-5.3</f>
        <v>-5.3</v>
      </c>
      <c r="F17" s="14">
        <f>0.7</f>
        <v>0.7</v>
      </c>
      <c r="G17" s="14">
        <f>0.7</f>
        <v>0.7</v>
      </c>
      <c r="H17" s="14">
        <f>7.9</f>
        <v>7.9</v>
      </c>
      <c r="I17" s="86">
        <f>3.5</f>
        <v>3.5</v>
      </c>
      <c r="J17" s="87">
        <f>data비교작업!S20*100</f>
        <v>2.7192982456140302</v>
      </c>
      <c r="K17" s="85">
        <v>-0.4603570530550582</v>
      </c>
    </row>
    <row r="18" spans="1:11" ht="18" customHeight="1" x14ac:dyDescent="0.25">
      <c r="A18" s="5">
        <v>43799</v>
      </c>
      <c r="B18" s="79">
        <f>80</f>
        <v>80</v>
      </c>
      <c r="C18" s="80">
        <v>74</v>
      </c>
      <c r="D18" s="14">
        <f>48.2</f>
        <v>48.2</v>
      </c>
      <c r="E18" s="14">
        <f>-14.5</f>
        <v>-14.5</v>
      </c>
      <c r="F18" s="14">
        <f>-0.1</f>
        <v>-0.1</v>
      </c>
      <c r="G18" s="14">
        <f>0.2</f>
        <v>0.2</v>
      </c>
      <c r="H18" s="14">
        <f>7.7</f>
        <v>7.7</v>
      </c>
      <c r="I18" s="86">
        <f>3</f>
        <v>3</v>
      </c>
      <c r="J18" s="87">
        <f>data비교작업!S21*100</f>
        <v>2.0175438596491202</v>
      </c>
      <c r="K18" s="85">
        <v>-0.62541651972375767</v>
      </c>
    </row>
    <row r="19" spans="1:11" ht="18" customHeight="1" x14ac:dyDescent="0.25">
      <c r="A19" s="5">
        <v>43769</v>
      </c>
      <c r="B19" s="79">
        <f>77</f>
        <v>77</v>
      </c>
      <c r="C19" s="80">
        <v>73</v>
      </c>
      <c r="D19" s="14">
        <f>48.3</f>
        <v>48.3</v>
      </c>
      <c r="E19" s="14">
        <f>-15</f>
        <v>-15</v>
      </c>
      <c r="F19" s="14">
        <f>-0.7</f>
        <v>-0.7</v>
      </c>
      <c r="G19" s="14">
        <f>0</f>
        <v>0</v>
      </c>
      <c r="H19" s="14">
        <f>7.5</f>
        <v>7.5</v>
      </c>
      <c r="I19" s="86">
        <f>2.4</f>
        <v>2.4</v>
      </c>
      <c r="J19" s="87">
        <f>data비교작업!S22*100</f>
        <v>1.4925373134328257</v>
      </c>
      <c r="K19" s="85">
        <v>-0.7989200574799038</v>
      </c>
    </row>
    <row r="20" spans="1:11" ht="18" customHeight="1" x14ac:dyDescent="0.25">
      <c r="A20" s="5">
        <v>43738</v>
      </c>
      <c r="B20" s="79">
        <f>76</f>
        <v>76</v>
      </c>
      <c r="C20" s="80">
        <v>72</v>
      </c>
      <c r="D20" s="14">
        <f>48.3</f>
        <v>48.3</v>
      </c>
      <c r="E20" s="14">
        <f>-11.9</f>
        <v>-11.9</v>
      </c>
      <c r="F20" s="14">
        <f>-0.8</f>
        <v>-0.8</v>
      </c>
      <c r="G20" s="14">
        <f>-0.4</f>
        <v>-0.4</v>
      </c>
      <c r="H20" s="14">
        <f>7.6</f>
        <v>7.6</v>
      </c>
      <c r="I20" s="86">
        <f>2</f>
        <v>2</v>
      </c>
      <c r="J20" s="87">
        <f>data비교작업!S23*100</f>
        <v>0.96660808435853129</v>
      </c>
      <c r="K20" s="85">
        <v>-0.93756491633005834</v>
      </c>
    </row>
    <row r="21" spans="1:11" ht="18" customHeight="1" x14ac:dyDescent="0.25">
      <c r="A21" s="5">
        <v>43708</v>
      </c>
      <c r="B21" s="79">
        <f>77</f>
        <v>77</v>
      </c>
      <c r="C21" s="80">
        <v>69</v>
      </c>
      <c r="D21" s="14">
        <f>48.4</f>
        <v>48.4</v>
      </c>
      <c r="E21" s="14">
        <f>-14</f>
        <v>-14</v>
      </c>
      <c r="F21" s="14">
        <f>-0.6</f>
        <v>-0.6</v>
      </c>
      <c r="G21" s="14">
        <f>0</f>
        <v>0</v>
      </c>
      <c r="H21" s="14">
        <f>6.8</f>
        <v>6.8</v>
      </c>
      <c r="I21" s="86">
        <f>1.8</f>
        <v>1.8</v>
      </c>
      <c r="J21" s="87">
        <f>data비교작업!S24*100</f>
        <v>0.70422535211268611</v>
      </c>
      <c r="K21" s="85">
        <v>-1.0166195554445618</v>
      </c>
    </row>
    <row r="22" spans="1:11" ht="18" customHeight="1" x14ac:dyDescent="0.25">
      <c r="A22" s="5">
        <v>43677</v>
      </c>
      <c r="B22" s="79">
        <f>77</f>
        <v>77</v>
      </c>
      <c r="C22" s="80">
        <v>73</v>
      </c>
      <c r="D22" s="14">
        <f>51</f>
        <v>51</v>
      </c>
      <c r="E22" s="14">
        <f>-11.1</f>
        <v>-11.1</v>
      </c>
      <c r="F22" s="14">
        <f>-0.3</f>
        <v>-0.3</v>
      </c>
      <c r="G22" s="14">
        <f>0.6</f>
        <v>0.6</v>
      </c>
      <c r="H22" s="14">
        <f>6.6</f>
        <v>6.6</v>
      </c>
      <c r="I22" s="86">
        <f>1.7</f>
        <v>1.7</v>
      </c>
      <c r="J22" s="87">
        <f>data비교작업!S25*100</f>
        <v>0.35180299032541029</v>
      </c>
      <c r="K22" s="85">
        <v>-1.0503128057160738</v>
      </c>
    </row>
    <row r="23" spans="1:11" ht="18" customHeight="1" x14ac:dyDescent="0.25">
      <c r="A23" s="5">
        <v>43646</v>
      </c>
      <c r="B23" s="79">
        <f>79</f>
        <v>79</v>
      </c>
      <c r="C23" s="80">
        <v>74</v>
      </c>
      <c r="D23" s="14">
        <f>51.3</f>
        <v>51.3</v>
      </c>
      <c r="E23" s="14">
        <f>-13.8</f>
        <v>-13.8</v>
      </c>
      <c r="F23" s="14">
        <f>0.1</f>
        <v>0.1</v>
      </c>
      <c r="G23" s="14">
        <f>0.7</f>
        <v>0.7</v>
      </c>
      <c r="H23" s="14">
        <f>6.7</f>
        <v>6.7</v>
      </c>
      <c r="I23" s="86">
        <f>1.9</f>
        <v>1.9</v>
      </c>
      <c r="J23" s="87">
        <f>data비교작업!S26*100</f>
        <v>0.52863436123347518</v>
      </c>
      <c r="K23" s="85">
        <v>-1.0602789163039776</v>
      </c>
    </row>
    <row r="24" spans="1:11" ht="18" customHeight="1" x14ac:dyDescent="0.25">
      <c r="A24" s="5">
        <v>43616</v>
      </c>
      <c r="B24" s="79">
        <f>80</f>
        <v>80</v>
      </c>
      <c r="C24" s="80">
        <v>73</v>
      </c>
      <c r="D24" s="14">
        <f>52.2</f>
        <v>52.2</v>
      </c>
      <c r="E24" s="14">
        <f>-9.8</f>
        <v>-9.8000000000000007</v>
      </c>
      <c r="F24" s="14">
        <f>0.4</f>
        <v>0.4</v>
      </c>
      <c r="G24" s="42">
        <f>0.7</f>
        <v>0.7</v>
      </c>
      <c r="H24" s="14">
        <f>6.6</f>
        <v>6.6</v>
      </c>
      <c r="I24" s="86">
        <f>1.9</f>
        <v>1.9</v>
      </c>
      <c r="J24" s="87">
        <f>data비교작업!S27*100</f>
        <v>0.79505300353356134</v>
      </c>
      <c r="K24" s="85">
        <v>-1.0663792523920916</v>
      </c>
    </row>
    <row r="25" spans="1:11" ht="18" customHeight="1" x14ac:dyDescent="0.25">
      <c r="A25" s="5">
        <v>43585</v>
      </c>
      <c r="B25" s="79">
        <f>81</f>
        <v>81</v>
      </c>
      <c r="C25" s="80">
        <v>74</v>
      </c>
      <c r="D25" s="14">
        <f>53.6</f>
        <v>53.6</v>
      </c>
      <c r="E25" s="14">
        <f>-2.1</f>
        <v>-2.1</v>
      </c>
      <c r="F25" s="14">
        <f>0.6</f>
        <v>0.6</v>
      </c>
      <c r="G25" s="42">
        <f>0.6</f>
        <v>0.6</v>
      </c>
      <c r="H25" s="14">
        <f>6.6</f>
        <v>6.6</v>
      </c>
      <c r="I25" s="86">
        <f>1.9</f>
        <v>1.9</v>
      </c>
      <c r="J25" s="87">
        <f>data비교작업!S28*100</f>
        <v>1.1535048802129522</v>
      </c>
      <c r="K25" s="85">
        <v>-1.0574330873257014</v>
      </c>
    </row>
    <row r="26" spans="1:11" ht="18" customHeight="1" x14ac:dyDescent="0.25">
      <c r="A26" s="5">
        <v>43555</v>
      </c>
      <c r="B26" s="79">
        <f>79</f>
        <v>79</v>
      </c>
      <c r="C26" s="80">
        <v>73</v>
      </c>
      <c r="D26" s="14">
        <f>55.3</f>
        <v>55.3</v>
      </c>
      <c r="E26" s="14">
        <f>-8.4</f>
        <v>-8.4</v>
      </c>
      <c r="F26" s="14">
        <f>0.5</f>
        <v>0.5</v>
      </c>
      <c r="G26" s="14">
        <f>0.4</f>
        <v>0.4</v>
      </c>
      <c r="H26" s="14">
        <f>6.8</f>
        <v>6.8</v>
      </c>
      <c r="I26" s="86">
        <f>1.8</f>
        <v>1.8</v>
      </c>
      <c r="J26" s="87">
        <f>data비교작업!S29*100</f>
        <v>0.88731144631765746</v>
      </c>
      <c r="K26" s="85">
        <v>-1.0648624430858373</v>
      </c>
    </row>
    <row r="27" spans="1:11" ht="18" customHeight="1" x14ac:dyDescent="0.25">
      <c r="A27" s="5">
        <v>43524</v>
      </c>
      <c r="B27" s="79">
        <f>78</f>
        <v>78</v>
      </c>
      <c r="C27" s="80">
        <v>69</v>
      </c>
      <c r="D27" s="14">
        <f>54.2</f>
        <v>54.2</v>
      </c>
      <c r="E27" s="14">
        <f>-11.3</f>
        <v>-11.3</v>
      </c>
      <c r="F27" s="14">
        <f>0.1</f>
        <v>0.1</v>
      </c>
      <c r="G27" s="14">
        <f>0.5</f>
        <v>0.5</v>
      </c>
      <c r="H27" s="14">
        <f>6.2</f>
        <v>6.2</v>
      </c>
      <c r="I27" s="86">
        <f>1.7</f>
        <v>1.7</v>
      </c>
      <c r="J27" s="87">
        <f>data비교작업!S30*100</f>
        <v>1.688888888888894</v>
      </c>
      <c r="K27" s="85">
        <v>-1.1225282661752298</v>
      </c>
    </row>
    <row r="28" spans="1:11" ht="18" customHeight="1" x14ac:dyDescent="0.25">
      <c r="A28" s="5">
        <v>43496</v>
      </c>
      <c r="B28" s="79">
        <f>80</f>
        <v>80</v>
      </c>
      <c r="C28" s="80">
        <v>69</v>
      </c>
      <c r="D28" s="14">
        <f>55.7</f>
        <v>55.7</v>
      </c>
      <c r="E28" s="14">
        <f>-6.2</f>
        <v>-6.2</v>
      </c>
      <c r="F28" s="14">
        <f>0.4</f>
        <v>0.4</v>
      </c>
      <c r="G28" s="14">
        <f>0.8</f>
        <v>0.8</v>
      </c>
      <c r="H28" s="14">
        <f>6.5</f>
        <v>6.5</v>
      </c>
      <c r="I28" s="86">
        <f>1.8</f>
        <v>1.8</v>
      </c>
      <c r="J28" s="87">
        <f>data비교작업!S31*100</f>
        <v>2.2381378692927485</v>
      </c>
      <c r="K28" s="85">
        <v>-1.2239888085633941</v>
      </c>
    </row>
    <row r="29" spans="1:11" ht="18" customHeight="1" x14ac:dyDescent="0.25">
      <c r="A29" s="5">
        <v>43465</v>
      </c>
      <c r="B29" s="79">
        <f>81</f>
        <v>81</v>
      </c>
      <c r="C29" s="80">
        <v>72</v>
      </c>
      <c r="D29" s="14">
        <f>54.8</f>
        <v>54.8</v>
      </c>
      <c r="E29" s="14">
        <f>-1.7</f>
        <v>-1.7</v>
      </c>
      <c r="F29" s="14">
        <f>0.9</f>
        <v>0.9</v>
      </c>
      <c r="G29" s="14">
        <f>1.3</f>
        <v>1.3</v>
      </c>
      <c r="H29" s="14">
        <f>6.8</f>
        <v>6.8</v>
      </c>
      <c r="I29" s="86">
        <f>1.8</f>
        <v>1.8</v>
      </c>
      <c r="J29" s="87">
        <f>data비교작업!S32*100</f>
        <v>2.33393177737881</v>
      </c>
      <c r="K29" s="85">
        <v>-1.3635001795645691</v>
      </c>
    </row>
    <row r="30" spans="1:11" ht="18" customHeight="1" x14ac:dyDescent="0.25">
      <c r="A30" s="5">
        <v>43434</v>
      </c>
      <c r="B30" s="79">
        <f>83</f>
        <v>83</v>
      </c>
      <c r="C30" s="80">
        <v>74</v>
      </c>
      <c r="D30" s="14">
        <f>58.7</f>
        <v>58.7</v>
      </c>
      <c r="E30" s="14">
        <f>3.6</f>
        <v>3.6</v>
      </c>
      <c r="F30" s="14">
        <f>1.5</f>
        <v>1.5</v>
      </c>
      <c r="G30" s="14">
        <f>2</f>
        <v>2</v>
      </c>
      <c r="H30" s="14">
        <f>6.8</f>
        <v>6.8</v>
      </c>
      <c r="I30" s="86">
        <f>2</f>
        <v>2</v>
      </c>
      <c r="J30" s="87">
        <f>data비교작업!S33*100</f>
        <v>2.517985611510789</v>
      </c>
      <c r="K30" s="85">
        <v>-1.52142822502185</v>
      </c>
    </row>
    <row r="31" spans="1:11" ht="18" customHeight="1" x14ac:dyDescent="0.25">
      <c r="A31" s="5">
        <v>43404</v>
      </c>
      <c r="B31" s="79">
        <f>80</f>
        <v>80</v>
      </c>
      <c r="C31" s="80">
        <v>73</v>
      </c>
      <c r="D31" s="14">
        <f>58.3</f>
        <v>58.3</v>
      </c>
      <c r="E31" s="14">
        <f>22.5</f>
        <v>22.5</v>
      </c>
      <c r="F31" s="14">
        <f>2.1</f>
        <v>2.1</v>
      </c>
      <c r="G31" s="14">
        <f>2</f>
        <v>2</v>
      </c>
      <c r="H31" s="14">
        <f>6.8</f>
        <v>6.8</v>
      </c>
      <c r="I31" s="86">
        <f>2.3</f>
        <v>2.2999999999999998</v>
      </c>
      <c r="J31" s="87">
        <f>data비교작업!S34*100</f>
        <v>2.7978339350180583</v>
      </c>
      <c r="K31" s="85">
        <v>-1.6518137130474464</v>
      </c>
    </row>
    <row r="32" spans="1:11" ht="18" customHeight="1" x14ac:dyDescent="0.25">
      <c r="A32" s="5">
        <v>43373</v>
      </c>
      <c r="B32" s="79">
        <f>81</f>
        <v>81</v>
      </c>
      <c r="C32" s="80">
        <v>75</v>
      </c>
      <c r="D32" s="14">
        <f>59.5</f>
        <v>59.5</v>
      </c>
      <c r="E32" s="14">
        <f>-8.1</f>
        <v>-8.1</v>
      </c>
      <c r="F32" s="14">
        <f>2.5</f>
        <v>2.5</v>
      </c>
      <c r="G32" s="14">
        <f>2.1</f>
        <v>2.1</v>
      </c>
      <c r="H32" s="14">
        <f>6.4</f>
        <v>6.4</v>
      </c>
      <c r="I32" s="86">
        <f>2.5</f>
        <v>2.5</v>
      </c>
      <c r="J32" s="87">
        <f>data비교작업!S35*100</f>
        <v>3.0797101449275286</v>
      </c>
      <c r="K32" s="85">
        <v>-1.7466172478699729</v>
      </c>
    </row>
    <row r="33" spans="1:11" ht="18" customHeight="1" x14ac:dyDescent="0.25">
      <c r="A33" s="5">
        <v>43343</v>
      </c>
      <c r="B33" s="79">
        <f>82</f>
        <v>82</v>
      </c>
      <c r="C33" s="80">
        <v>74</v>
      </c>
      <c r="D33" s="14">
        <f>60.4</f>
        <v>60.4</v>
      </c>
      <c r="E33" s="14">
        <f>8.7</f>
        <v>8.6999999999999993</v>
      </c>
      <c r="F33" s="14">
        <f>2.9</f>
        <v>2.9</v>
      </c>
      <c r="G33" s="14">
        <f>1.4</f>
        <v>1.4</v>
      </c>
      <c r="H33" s="14">
        <f>6.7</f>
        <v>6.7</v>
      </c>
      <c r="I33" s="86">
        <f>2.7</f>
        <v>2.7</v>
      </c>
      <c r="J33" s="87">
        <f>data비교작업!S36*100</f>
        <v>2.9918404351767882</v>
      </c>
      <c r="K33" s="85">
        <v>-1.8185228692654556</v>
      </c>
    </row>
    <row r="34" spans="1:11" ht="18" customHeight="1" x14ac:dyDescent="0.25">
      <c r="A34" s="5">
        <v>43312</v>
      </c>
      <c r="B34" s="79">
        <f>83</f>
        <v>83</v>
      </c>
      <c r="C34" s="80">
        <v>75</v>
      </c>
      <c r="D34" s="14">
        <f>58</f>
        <v>58</v>
      </c>
      <c r="E34" s="14">
        <f>6.1</f>
        <v>6.1</v>
      </c>
      <c r="F34" s="14">
        <f>2.9</f>
        <v>2.9</v>
      </c>
      <c r="G34" s="14">
        <f>1.1</f>
        <v>1.1000000000000001</v>
      </c>
      <c r="H34" s="14">
        <f>6.7</f>
        <v>6.7</v>
      </c>
      <c r="I34" s="86">
        <f>3.2</f>
        <v>3.2</v>
      </c>
      <c r="J34" s="87">
        <f>data비교작업!S37*100</f>
        <v>3.4576888080072767</v>
      </c>
      <c r="K34" s="85">
        <v>-1.8604863894558348</v>
      </c>
    </row>
    <row r="35" spans="1:11" ht="18" customHeight="1" x14ac:dyDescent="0.25">
      <c r="A35" s="5">
        <v>43281</v>
      </c>
      <c r="B35" s="79">
        <f>87</f>
        <v>87</v>
      </c>
      <c r="C35" s="80">
        <v>80</v>
      </c>
      <c r="D35" s="14">
        <f>59.7</f>
        <v>59.7</v>
      </c>
      <c r="E35" s="14">
        <f>-0.4</f>
        <v>-0.4</v>
      </c>
      <c r="F35" s="14">
        <f>2.5</f>
        <v>2.5</v>
      </c>
      <c r="G35" s="14">
        <f>1.5</f>
        <v>1.5</v>
      </c>
      <c r="H35" s="14">
        <f>6.1</f>
        <v>6.1</v>
      </c>
      <c r="I35" s="86">
        <f>3.3</f>
        <v>3.3</v>
      </c>
      <c r="J35" s="87">
        <f>data비교작업!S38*100</f>
        <v>3.7477148080438707</v>
      </c>
      <c r="K35" s="85">
        <v>-1.8587438415172808</v>
      </c>
    </row>
    <row r="36" spans="1:11" ht="18" customHeight="1" x14ac:dyDescent="0.25">
      <c r="A36" s="5">
        <v>43251</v>
      </c>
      <c r="B36" s="79">
        <f>87</f>
        <v>87</v>
      </c>
      <c r="C36" s="80">
        <v>81</v>
      </c>
      <c r="D36" s="14">
        <f>58.9</f>
        <v>58.9</v>
      </c>
      <c r="E36" s="14">
        <f>12.8</f>
        <v>12.8</v>
      </c>
      <c r="F36" s="14">
        <f>2.1</f>
        <v>2.1</v>
      </c>
      <c r="G36" s="14">
        <f>1.5</f>
        <v>1.5</v>
      </c>
      <c r="H36" s="14">
        <f>5.9</f>
        <v>5.9</v>
      </c>
      <c r="I36" s="86">
        <f>3.5</f>
        <v>3.5</v>
      </c>
      <c r="J36" s="87">
        <f>data비교작업!S39*100</f>
        <v>4.1398344066237351</v>
      </c>
      <c r="K36" s="85">
        <v>-1.8094842379575802</v>
      </c>
    </row>
    <row r="37" spans="1:11" ht="18" customHeight="1" x14ac:dyDescent="0.25">
      <c r="A37" s="5">
        <v>43220</v>
      </c>
      <c r="B37" s="79">
        <f>84</f>
        <v>84</v>
      </c>
      <c r="C37" s="80">
        <v>79</v>
      </c>
      <c r="D37" s="14">
        <f>58.6</f>
        <v>58.6</v>
      </c>
      <c r="E37" s="14">
        <f>-2</f>
        <v>-2</v>
      </c>
      <c r="F37" s="14">
        <f>1.5</f>
        <v>1.5</v>
      </c>
      <c r="G37" s="14">
        <f>1.5</f>
        <v>1.5</v>
      </c>
      <c r="H37" s="14">
        <f>5.7</f>
        <v>5.7</v>
      </c>
      <c r="I37" s="86">
        <f>3.5</f>
        <v>3.5</v>
      </c>
      <c r="J37" s="87">
        <f>data비교작업!S40*100</f>
        <v>4.2553191489361781</v>
      </c>
      <c r="K37" s="85">
        <v>-1.7217658583051509</v>
      </c>
    </row>
    <row r="38" spans="1:11" ht="18" customHeight="1" x14ac:dyDescent="0.25">
      <c r="A38" s="5">
        <v>43190</v>
      </c>
      <c r="B38" s="79">
        <f>82</f>
        <v>82</v>
      </c>
      <c r="C38" s="80">
        <v>77</v>
      </c>
      <c r="D38" s="14">
        <f>59.2</f>
        <v>59.2</v>
      </c>
      <c r="E38" s="14">
        <f>5.5</f>
        <v>5.5</v>
      </c>
      <c r="F38" s="14">
        <f>1.2</f>
        <v>1.2</v>
      </c>
      <c r="G38" s="14">
        <f>1.2</f>
        <v>1.2</v>
      </c>
      <c r="H38" s="14">
        <f>5.8</f>
        <v>5.8</v>
      </c>
      <c r="I38" s="86">
        <f>4</f>
        <v>4</v>
      </c>
      <c r="J38" s="87">
        <f>data비교작업!S41*100</f>
        <v>4.7397769516728712</v>
      </c>
      <c r="K38" s="85">
        <v>-1.57125809667392</v>
      </c>
    </row>
    <row r="39" spans="1:11" ht="18" customHeight="1" x14ac:dyDescent="0.25">
      <c r="A39" s="5">
        <v>43159</v>
      </c>
      <c r="B39" s="79">
        <f>86</f>
        <v>86</v>
      </c>
      <c r="C39" s="80">
        <v>77</v>
      </c>
      <c r="D39" s="14">
        <f>60.8</f>
        <v>60.8</v>
      </c>
      <c r="E39" s="14">
        <f>3.1</f>
        <v>3.1</v>
      </c>
      <c r="F39" s="14">
        <f>1.2</f>
        <v>1.2</v>
      </c>
      <c r="G39" s="14">
        <f>1.3</f>
        <v>1.3</v>
      </c>
      <c r="H39" s="14">
        <f>6.2</f>
        <v>6.2</v>
      </c>
      <c r="I39" s="86">
        <f>4.3</f>
        <v>4.3</v>
      </c>
      <c r="J39" s="87">
        <f>data비교작업!S42*100</f>
        <v>4.8462255358807109</v>
      </c>
      <c r="K39" s="85">
        <v>-1.3497643931465115</v>
      </c>
    </row>
    <row r="40" spans="1:11" ht="18" customHeight="1" x14ac:dyDescent="0.25">
      <c r="A40" s="5">
        <v>43131</v>
      </c>
      <c r="B40" s="79">
        <f>87</f>
        <v>87</v>
      </c>
      <c r="C40" s="80">
        <v>78</v>
      </c>
      <c r="D40" s="14">
        <f>59.4</f>
        <v>59.4</v>
      </c>
      <c r="E40" s="14">
        <f>22.3</f>
        <v>22.3</v>
      </c>
      <c r="F40" s="14">
        <f>1.2</f>
        <v>1.2</v>
      </c>
      <c r="G40" s="14">
        <f>0.8</f>
        <v>0.8</v>
      </c>
      <c r="H40" s="14">
        <f>5.5</f>
        <v>5.5</v>
      </c>
      <c r="I40" s="86">
        <f>4.6</f>
        <v>4.5999999999999996</v>
      </c>
      <c r="J40" s="87">
        <f>data비교작업!S43*100</f>
        <v>4.5880149812734139</v>
      </c>
      <c r="K40" s="85">
        <v>-1.0686255512067893</v>
      </c>
    </row>
    <row r="41" spans="1:11" ht="18" customHeight="1" x14ac:dyDescent="0.25">
      <c r="A41" s="5">
        <v>43100</v>
      </c>
      <c r="B41" s="79">
        <f>90</f>
        <v>90</v>
      </c>
      <c r="C41" s="80">
        <v>81</v>
      </c>
      <c r="D41" s="14">
        <f>59.2</f>
        <v>59.2</v>
      </c>
      <c r="E41" s="14">
        <f>8.8</f>
        <v>8.8000000000000007</v>
      </c>
      <c r="F41" s="14">
        <f>2.2</f>
        <v>2.2000000000000002</v>
      </c>
      <c r="G41" s="14">
        <f>1.4</f>
        <v>1.4</v>
      </c>
      <c r="H41" s="14">
        <f>4.7</f>
        <v>4.7</v>
      </c>
      <c r="I41" s="86">
        <f>4.6</f>
        <v>4.5999999999999996</v>
      </c>
      <c r="J41" s="87">
        <f>data비교작업!S44*100</f>
        <v>4.6992481203007515</v>
      </c>
      <c r="K41" s="85">
        <v>-0.73503778590546742</v>
      </c>
    </row>
    <row r="42" spans="1:11" ht="18" customHeight="1" x14ac:dyDescent="0.25">
      <c r="A42" s="5">
        <v>43069</v>
      </c>
      <c r="B42" s="79">
        <f>89</f>
        <v>89</v>
      </c>
      <c r="C42" s="80">
        <v>80</v>
      </c>
      <c r="D42" s="14">
        <f>57.9</f>
        <v>57.9</v>
      </c>
      <c r="E42" s="14">
        <f>9.7</f>
        <v>9.6999999999999993</v>
      </c>
      <c r="F42" s="14">
        <f>3</f>
        <v>3</v>
      </c>
      <c r="G42" s="14">
        <f>1.2</f>
        <v>1.2</v>
      </c>
      <c r="H42" s="14">
        <f>4.8</f>
        <v>4.8</v>
      </c>
      <c r="I42" s="86">
        <f>4.8</f>
        <v>4.8</v>
      </c>
      <c r="J42" s="87">
        <f>data비교작업!S45*100</f>
        <v>5.1039697542533142</v>
      </c>
      <c r="K42" s="85">
        <v>-0.37773465693292363</v>
      </c>
    </row>
    <row r="43" spans="1:11" ht="18" customHeight="1" x14ac:dyDescent="0.25">
      <c r="A43" s="5">
        <v>43039</v>
      </c>
      <c r="B43" s="79">
        <f>86</f>
        <v>86</v>
      </c>
      <c r="C43" s="80">
        <v>78</v>
      </c>
      <c r="D43" s="14">
        <f>58.6</f>
        <v>58.6</v>
      </c>
      <c r="E43" s="14">
        <f>6.7</f>
        <v>6.7</v>
      </c>
      <c r="F43" s="14">
        <f>3.6</f>
        <v>3.6</v>
      </c>
      <c r="G43" s="14">
        <f>1.8</f>
        <v>1.8</v>
      </c>
      <c r="H43" s="14">
        <f>4.7</f>
        <v>4.7</v>
      </c>
      <c r="I43" s="86">
        <f>5</f>
        <v>5</v>
      </c>
      <c r="J43" s="87">
        <f>data비교작업!S46*100</f>
        <v>5.1233396584440145</v>
      </c>
      <c r="K43" s="85">
        <v>-4.4030813671668979E-2</v>
      </c>
    </row>
    <row r="44" spans="1:11" ht="18" customHeight="1" x14ac:dyDescent="0.25">
      <c r="A44" s="5">
        <v>43008</v>
      </c>
      <c r="B44" s="79">
        <f>88</f>
        <v>88</v>
      </c>
      <c r="C44" s="80">
        <v>81</v>
      </c>
      <c r="D44" s="14">
        <f>59.9</f>
        <v>59.9</v>
      </c>
      <c r="E44" s="14">
        <f>34.9</f>
        <v>34.9</v>
      </c>
      <c r="F44" s="14">
        <f>3.8</f>
        <v>3.8</v>
      </c>
      <c r="G44" s="14">
        <f>2</f>
        <v>2</v>
      </c>
      <c r="H44" s="14">
        <f>4.6</f>
        <v>4.5999999999999996</v>
      </c>
      <c r="I44" s="86">
        <f>5.2</f>
        <v>5.2</v>
      </c>
      <c r="J44" s="87">
        <f>data비교작업!S47*100</f>
        <v>5.2430886558627261</v>
      </c>
      <c r="K44" s="85">
        <v>0.25920181263326392</v>
      </c>
    </row>
    <row r="45" spans="1:11" ht="18" customHeight="1" x14ac:dyDescent="0.25">
      <c r="A45" s="5">
        <v>42978</v>
      </c>
      <c r="B45" s="79">
        <f>86</f>
        <v>86</v>
      </c>
      <c r="C45" s="80">
        <v>77</v>
      </c>
      <c r="D45" s="14">
        <f>58.5</f>
        <v>58.5</v>
      </c>
      <c r="E45" s="14">
        <f>17.4</f>
        <v>17.399999999999999</v>
      </c>
      <c r="F45" s="14">
        <f>3.3</f>
        <v>3.3</v>
      </c>
      <c r="G45" s="14">
        <f>2.5</f>
        <v>2.5</v>
      </c>
      <c r="H45" s="14">
        <f>4.6</f>
        <v>4.5999999999999996</v>
      </c>
      <c r="I45" s="86">
        <f>5.5</f>
        <v>5.5</v>
      </c>
      <c r="J45" s="87">
        <f>data비교작업!S48*100</f>
        <v>5.7526366251198464</v>
      </c>
      <c r="K45" s="85">
        <v>0.55327335248204768</v>
      </c>
    </row>
    <row r="46" spans="1:11" ht="18" customHeight="1" x14ac:dyDescent="0.25">
      <c r="A46" s="5">
        <v>42947</v>
      </c>
      <c r="B46" s="79">
        <f>87</f>
        <v>87</v>
      </c>
      <c r="C46" s="80">
        <v>78</v>
      </c>
      <c r="D46" s="14">
        <f>56.5</f>
        <v>56.5</v>
      </c>
      <c r="E46" s="14">
        <f>19.4</f>
        <v>19.399999999999999</v>
      </c>
      <c r="F46" s="14">
        <f>3</f>
        <v>3</v>
      </c>
      <c r="G46" s="14">
        <f>2.2</f>
        <v>2.2000000000000002</v>
      </c>
      <c r="H46" s="14">
        <f>5.1</f>
        <v>5.0999999999999996</v>
      </c>
      <c r="I46" s="86">
        <f>5.6</f>
        <v>5.6</v>
      </c>
      <c r="J46" s="87">
        <f>data비교작업!S49*100</f>
        <v>5.8766859344894113</v>
      </c>
      <c r="K46" s="85">
        <v>0.82420633818740696</v>
      </c>
    </row>
    <row r="47" spans="1:11" ht="18" customHeight="1" x14ac:dyDescent="0.25">
      <c r="A47" s="5">
        <v>42916</v>
      </c>
      <c r="B47" s="79">
        <f>87</f>
        <v>87</v>
      </c>
      <c r="C47" s="80">
        <v>77</v>
      </c>
      <c r="D47" s="14">
        <f>56.1</f>
        <v>56.1</v>
      </c>
      <c r="E47" s="14">
        <f>13.4</f>
        <v>13.4</v>
      </c>
      <c r="F47" s="14">
        <f>2.8</f>
        <v>2.8</v>
      </c>
      <c r="G47" s="14">
        <f>1.8</f>
        <v>1.8</v>
      </c>
      <c r="H47" s="14">
        <f>5.9</f>
        <v>5.9</v>
      </c>
      <c r="I47" s="86">
        <f>5.5</f>
        <v>5.5</v>
      </c>
      <c r="J47" s="87">
        <f>data비교작업!S50*100</f>
        <v>5.9051306873184979</v>
      </c>
      <c r="K47" s="85">
        <v>1.0458127765728411</v>
      </c>
    </row>
    <row r="48" spans="1:11" ht="18" customHeight="1" x14ac:dyDescent="0.25">
      <c r="A48" s="5">
        <v>42886</v>
      </c>
      <c r="B48" s="79">
        <f>87</f>
        <v>87</v>
      </c>
      <c r="C48" s="80">
        <v>80</v>
      </c>
      <c r="D48" s="14">
        <f>56.4</f>
        <v>56.4</v>
      </c>
      <c r="E48" s="14">
        <f>13.1</f>
        <v>13.1</v>
      </c>
      <c r="F48" s="14">
        <f>3.4</f>
        <v>3.4</v>
      </c>
      <c r="G48" s="14">
        <f>2</f>
        <v>2</v>
      </c>
      <c r="H48" s="14">
        <f>6.1</f>
        <v>6.1</v>
      </c>
      <c r="I48" s="86">
        <f>5.2</f>
        <v>5.2</v>
      </c>
      <c r="J48" s="87">
        <f>data비교작업!S51*100</f>
        <v>5.5339805825242747</v>
      </c>
      <c r="K48" s="85">
        <v>1.2056636766976281</v>
      </c>
    </row>
    <row r="49" spans="1:11" ht="18" customHeight="1" x14ac:dyDescent="0.25">
      <c r="A49" s="5">
        <v>42855</v>
      </c>
      <c r="B49" s="79">
        <f>91</f>
        <v>91</v>
      </c>
      <c r="C49" s="80">
        <v>80</v>
      </c>
      <c r="D49" s="14">
        <f>55.7</f>
        <v>55.7</v>
      </c>
      <c r="E49" s="14">
        <f>23.8</f>
        <v>23.8</v>
      </c>
      <c r="F49" s="14">
        <f>3.8</f>
        <v>3.8</v>
      </c>
      <c r="G49" s="14">
        <f>2</f>
        <v>2</v>
      </c>
      <c r="H49" s="14">
        <f>6.6</f>
        <v>6.6</v>
      </c>
      <c r="I49" s="86">
        <f>5</f>
        <v>5</v>
      </c>
      <c r="J49" s="87">
        <f>data비교작업!S52*100</f>
        <v>5.3606237816764137</v>
      </c>
      <c r="K49" s="85" t="e">
        <v>#N/A</v>
      </c>
    </row>
    <row r="50" spans="1:11" ht="18" customHeight="1" x14ac:dyDescent="0.25">
      <c r="A50" s="5">
        <v>42825</v>
      </c>
      <c r="B50" s="79">
        <f>88</f>
        <v>88</v>
      </c>
      <c r="C50" s="80">
        <v>78</v>
      </c>
      <c r="D50" s="14">
        <f>56.8</f>
        <v>56.8</v>
      </c>
      <c r="E50" s="14">
        <f>13.1</f>
        <v>13.1</v>
      </c>
      <c r="F50" s="14">
        <f>4.3</f>
        <v>4.3</v>
      </c>
      <c r="G50" s="14">
        <f>2.3</f>
        <v>2.2999999999999998</v>
      </c>
      <c r="H50" s="14">
        <f>6.2</f>
        <v>6.2</v>
      </c>
      <c r="I50" s="86">
        <f>4.8</f>
        <v>4.8</v>
      </c>
      <c r="J50" s="87">
        <f>data비교작업!S53*100</f>
        <v>5.2837573385518501</v>
      </c>
      <c r="K50" s="85" t="e">
        <v>#N/A</v>
      </c>
    </row>
    <row r="51" spans="1:11" ht="18" customHeight="1" x14ac:dyDescent="0.25">
      <c r="A51" s="5">
        <v>42794</v>
      </c>
      <c r="B51" s="79">
        <f>86</f>
        <v>86</v>
      </c>
      <c r="C51" s="80">
        <v>74</v>
      </c>
      <c r="D51" s="14">
        <f>57.7</f>
        <v>57.7</v>
      </c>
      <c r="E51" s="14">
        <f>20.2</f>
        <v>20.2</v>
      </c>
      <c r="F51" s="14">
        <f>4.3</f>
        <v>4.3</v>
      </c>
      <c r="G51" s="14">
        <f>2.1</f>
        <v>2.1</v>
      </c>
      <c r="H51" s="14">
        <f>5.9</f>
        <v>5.9</v>
      </c>
      <c r="I51" s="86">
        <f>4.7</f>
        <v>4.7</v>
      </c>
      <c r="J51" s="87">
        <f>data비교작업!S54*100</f>
        <v>5.1960784313725465</v>
      </c>
      <c r="K51" s="85" t="e">
        <v>#N/A</v>
      </c>
    </row>
    <row r="52" spans="1:11" ht="18" customHeight="1" x14ac:dyDescent="0.25">
      <c r="A52" s="5">
        <v>42766</v>
      </c>
      <c r="B52" s="79">
        <f>85</f>
        <v>85</v>
      </c>
      <c r="C52" s="80">
        <v>74</v>
      </c>
      <c r="D52" s="14">
        <f>55.7</f>
        <v>55.7</v>
      </c>
      <c r="E52" s="14">
        <f>11</f>
        <v>11</v>
      </c>
      <c r="F52" s="14">
        <f>3.9</f>
        <v>3.9</v>
      </c>
      <c r="G52" s="14">
        <f>2.2</f>
        <v>2.2000000000000002</v>
      </c>
      <c r="H52" s="14">
        <f>6.9</f>
        <v>6.9</v>
      </c>
      <c r="I52" s="86">
        <f>4.5</f>
        <v>4.5</v>
      </c>
      <c r="J52" s="87">
        <f>data비교작업!S55*100</f>
        <v>4.705882352941174</v>
      </c>
      <c r="K52" s="85" t="e">
        <v>#N/A</v>
      </c>
    </row>
    <row r="53" spans="1:11" ht="18" customHeight="1" x14ac:dyDescent="0.25">
      <c r="A53" s="5">
        <v>42735</v>
      </c>
      <c r="B53" s="79">
        <f>86</f>
        <v>86</v>
      </c>
      <c r="C53" s="80">
        <v>73</v>
      </c>
      <c r="D53" s="14">
        <f>54.2</f>
        <v>54.2</v>
      </c>
      <c r="E53" s="14">
        <f>6.3</f>
        <v>6.3</v>
      </c>
      <c r="F53" s="14">
        <f>1.8</f>
        <v>1.8</v>
      </c>
      <c r="G53" s="14">
        <f>1.3</f>
        <v>1.3</v>
      </c>
      <c r="H53" s="14">
        <f>7.5</f>
        <v>7.5</v>
      </c>
      <c r="I53" s="86">
        <f>4.4</f>
        <v>4.4000000000000004</v>
      </c>
      <c r="J53" s="87">
        <f>data비교작업!S56*100</f>
        <v>4.3137254901960835</v>
      </c>
      <c r="K53" s="85" t="e">
        <v>#N/A</v>
      </c>
    </row>
    <row r="54" spans="1:11" ht="18" customHeight="1" x14ac:dyDescent="0.25">
      <c r="A54" s="5">
        <v>42704</v>
      </c>
      <c r="B54" s="79">
        <f>84</f>
        <v>84</v>
      </c>
      <c r="C54" s="80">
        <v>73</v>
      </c>
      <c r="D54" s="14">
        <f>53.3</f>
        <v>53.3</v>
      </c>
      <c r="E54" s="14">
        <f>2.3</f>
        <v>2.2999999999999998</v>
      </c>
      <c r="F54" s="14">
        <f>0.7</f>
        <v>0.7</v>
      </c>
      <c r="G54" s="14">
        <f>1.5</f>
        <v>1.5</v>
      </c>
      <c r="H54" s="14">
        <f>7.3</f>
        <v>7.3</v>
      </c>
      <c r="I54" s="86">
        <f>4.1</f>
        <v>4.0999999999999996</v>
      </c>
      <c r="J54" s="87">
        <f>data비교작업!S57*100</f>
        <v>3.8272816486751635</v>
      </c>
      <c r="K54" s="85" t="e">
        <v>#N/A</v>
      </c>
    </row>
    <row r="55" spans="1:11" ht="18" customHeight="1" x14ac:dyDescent="0.25">
      <c r="A55" s="5">
        <v>42674</v>
      </c>
      <c r="B55" s="79">
        <f>80</f>
        <v>80</v>
      </c>
      <c r="C55" s="80">
        <v>71</v>
      </c>
      <c r="D55" s="14">
        <f>51.8</f>
        <v>51.8</v>
      </c>
      <c r="E55" s="14">
        <f>-3.2</f>
        <v>-3.2</v>
      </c>
      <c r="F55" s="14">
        <f>-0.1</f>
        <v>-0.1</v>
      </c>
      <c r="G55" s="14">
        <f>1.5</f>
        <v>1.5</v>
      </c>
      <c r="H55" s="14">
        <f>7.1</f>
        <v>7.1</v>
      </c>
      <c r="I55" s="86">
        <f>4</f>
        <v>4</v>
      </c>
      <c r="J55" s="87">
        <f>data비교작업!S58*100</f>
        <v>3.84236453201971</v>
      </c>
      <c r="K55" s="85" t="e">
        <v>#N/A</v>
      </c>
    </row>
    <row r="56" spans="1:11" ht="18" customHeight="1" x14ac:dyDescent="0.25">
      <c r="A56" s="5">
        <v>42643</v>
      </c>
      <c r="B56" s="79">
        <f>81</f>
        <v>81</v>
      </c>
      <c r="C56" s="80">
        <v>72</v>
      </c>
      <c r="D56" s="14">
        <f>51</f>
        <v>51</v>
      </c>
      <c r="E56" s="14">
        <f>-6</f>
        <v>-6</v>
      </c>
      <c r="F56" s="14">
        <f>-1.1</f>
        <v>-1.1000000000000001</v>
      </c>
      <c r="G56" s="14">
        <f>1.3</f>
        <v>1.3</v>
      </c>
      <c r="H56" s="14">
        <f>6.9</f>
        <v>6.9</v>
      </c>
      <c r="I56" s="86">
        <f>3.9</f>
        <v>3.9</v>
      </c>
      <c r="J56" s="87">
        <f>data비교작업!S59*100</f>
        <v>3.7586547972304762</v>
      </c>
      <c r="K56" s="85" t="e">
        <v>#N/A</v>
      </c>
    </row>
    <row r="57" spans="1:11" ht="18" customHeight="1" x14ac:dyDescent="0.25">
      <c r="A57" s="5">
        <v>42613</v>
      </c>
      <c r="B57" s="79">
        <f>80</f>
        <v>80</v>
      </c>
      <c r="C57" s="80">
        <v>72</v>
      </c>
      <c r="D57" s="14">
        <f>49.7</f>
        <v>49.7</v>
      </c>
      <c r="E57" s="14">
        <f>2.6</f>
        <v>2.6</v>
      </c>
      <c r="F57" s="14">
        <f>-1.8</f>
        <v>-1.8</v>
      </c>
      <c r="G57" s="14">
        <f>0.5</f>
        <v>0.5</v>
      </c>
      <c r="H57" s="14">
        <f>7.2</f>
        <v>7.2</v>
      </c>
      <c r="I57" s="86">
        <f>3.6</f>
        <v>3.6</v>
      </c>
      <c r="J57" s="87">
        <f>data비교작업!S60*100</f>
        <v>3.7810945273631811</v>
      </c>
      <c r="K57" s="85" t="e">
        <v>#N/A</v>
      </c>
    </row>
    <row r="58" spans="1:11" ht="18" customHeight="1" x14ac:dyDescent="0.25">
      <c r="A58" s="5">
        <v>42582</v>
      </c>
      <c r="B58" s="79">
        <f>81</f>
        <v>81</v>
      </c>
      <c r="C58" s="80">
        <v>71</v>
      </c>
      <c r="D58" s="14">
        <f>52.4</f>
        <v>52.4</v>
      </c>
      <c r="E58" s="14">
        <f>-10.5</f>
        <v>-10.5</v>
      </c>
      <c r="F58" s="14">
        <f>-2.5</f>
        <v>-2.5</v>
      </c>
      <c r="G58" s="14">
        <f>0.4</f>
        <v>0.4</v>
      </c>
      <c r="H58" s="14">
        <f>6.9</f>
        <v>6.9</v>
      </c>
      <c r="I58" s="86">
        <f>3.4</f>
        <v>3.4</v>
      </c>
      <c r="J58" s="87">
        <f>data비교작업!S61*100</f>
        <v>3.6963036963036995</v>
      </c>
      <c r="K58" s="85" t="e">
        <v>#N/A</v>
      </c>
    </row>
    <row r="59" spans="1:11" ht="18" customHeight="1" x14ac:dyDescent="0.25">
      <c r="A59" s="5">
        <v>42551</v>
      </c>
      <c r="B59" s="79">
        <f>80</f>
        <v>80</v>
      </c>
      <c r="C59" s="80">
        <v>71</v>
      </c>
      <c r="D59" s="14">
        <f>52.4</f>
        <v>52.4</v>
      </c>
      <c r="E59" s="14">
        <f>-2.9</f>
        <v>-2.9</v>
      </c>
      <c r="F59" s="14">
        <f>-2.7</f>
        <v>-2.7</v>
      </c>
      <c r="G59" s="14">
        <f>0.7</f>
        <v>0.7</v>
      </c>
      <c r="H59" s="14">
        <f>7.1</f>
        <v>7.1</v>
      </c>
      <c r="I59" s="86">
        <f>3.3</f>
        <v>3.3</v>
      </c>
      <c r="J59" s="87">
        <f>data비교작업!S62*100</f>
        <v>3.4034034034033946</v>
      </c>
      <c r="K59" s="85" t="e">
        <v>#N/A</v>
      </c>
    </row>
    <row r="60" spans="1:11" ht="18" customHeight="1" x14ac:dyDescent="0.25">
      <c r="A60" s="5">
        <v>42521</v>
      </c>
      <c r="B60" s="79">
        <f>78</f>
        <v>78</v>
      </c>
      <c r="C60" s="80">
        <v>71</v>
      </c>
      <c r="D60" s="14">
        <f>51.3</f>
        <v>51.3</v>
      </c>
      <c r="E60" s="14">
        <f>-6.1</f>
        <v>-6.1</v>
      </c>
      <c r="F60" s="14">
        <f>-3</f>
        <v>-3</v>
      </c>
      <c r="G60" s="14">
        <f>0.8</f>
        <v>0.8</v>
      </c>
      <c r="H60" s="14">
        <f>6.7</f>
        <v>6.7</v>
      </c>
      <c r="I60" s="86">
        <f>3.4</f>
        <v>3.4</v>
      </c>
      <c r="J60" s="87">
        <f>data비교작업!S63*100</f>
        <v>3.4136546184739012</v>
      </c>
      <c r="K60" s="85" t="e">
        <v>#N/A</v>
      </c>
    </row>
    <row r="61" spans="1:11" ht="18" customHeight="1" x14ac:dyDescent="0.25">
      <c r="A61" s="5">
        <v>42490</v>
      </c>
      <c r="B61" s="79">
        <f>82</f>
        <v>82</v>
      </c>
      <c r="C61" s="80">
        <v>70</v>
      </c>
      <c r="D61" s="14">
        <f>51</f>
        <v>51</v>
      </c>
      <c r="E61" s="14">
        <f>-11.1</f>
        <v>-11.1</v>
      </c>
      <c r="F61" s="14">
        <f>-3</f>
        <v>-3</v>
      </c>
      <c r="G61" s="14">
        <f>1</f>
        <v>1</v>
      </c>
      <c r="H61" s="14">
        <f>7</f>
        <v>7</v>
      </c>
      <c r="I61" s="86">
        <f>3.4</f>
        <v>3.4</v>
      </c>
      <c r="J61" s="87">
        <f>data비교작업!S64*100</f>
        <v>3.6363636363636305</v>
      </c>
      <c r="K61" s="85" t="e">
        <v>#N/A</v>
      </c>
    </row>
    <row r="62" spans="1:11" ht="18" customHeight="1" x14ac:dyDescent="0.25">
      <c r="A62" s="5">
        <v>42460</v>
      </c>
      <c r="B62" s="79">
        <f>79</f>
        <v>79</v>
      </c>
      <c r="C62" s="80">
        <v>68</v>
      </c>
      <c r="D62" s="14">
        <f>51.4</f>
        <v>51.4</v>
      </c>
      <c r="E62" s="14">
        <f>-8.2</f>
        <v>-8.1999999999999993</v>
      </c>
      <c r="F62" s="14">
        <f>-3.3</f>
        <v>-3.3</v>
      </c>
      <c r="G62" s="14">
        <f>0.8</f>
        <v>0.8</v>
      </c>
      <c r="H62" s="14">
        <f>7.8</f>
        <v>7.8</v>
      </c>
      <c r="I62" s="86">
        <f>3.4</f>
        <v>3.4</v>
      </c>
      <c r="J62" s="87">
        <f>data비교작업!S65*100</f>
        <v>3.6511156186612665</v>
      </c>
      <c r="K62" s="85" t="e">
        <v>#N/A</v>
      </c>
    </row>
    <row r="63" spans="1:11" ht="18" customHeight="1" x14ac:dyDescent="0.25">
      <c r="A63" s="5">
        <v>42429</v>
      </c>
      <c r="B63" s="79">
        <f>75</f>
        <v>75</v>
      </c>
      <c r="C63" s="80">
        <v>63</v>
      </c>
      <c r="D63" s="14">
        <f>49.2</f>
        <v>49.2</v>
      </c>
      <c r="E63" s="14">
        <f>-13.4</f>
        <v>-13.4</v>
      </c>
      <c r="F63" s="14">
        <f>-3.4</f>
        <v>-3.4</v>
      </c>
      <c r="G63" s="14">
        <f>1.1</f>
        <v>1.1000000000000001</v>
      </c>
      <c r="H63" s="14">
        <f>8.3</f>
        <v>8.3000000000000007</v>
      </c>
      <c r="I63" s="86">
        <f>3.6</f>
        <v>3.6</v>
      </c>
      <c r="J63" s="87">
        <f>data비교작업!S66*100</f>
        <v>3.869653767820771</v>
      </c>
      <c r="K63" s="85" t="e">
        <v>#N/A</v>
      </c>
    </row>
    <row r="64" spans="1:11" ht="18" customHeight="1" x14ac:dyDescent="0.25">
      <c r="A64" s="5">
        <v>42400</v>
      </c>
      <c r="B64" s="79">
        <f>76</f>
        <v>76</v>
      </c>
      <c r="C64" s="80">
        <v>67</v>
      </c>
      <c r="D64" s="14">
        <f>47.5</f>
        <v>47.5</v>
      </c>
      <c r="E64" s="14">
        <f>-19.6</f>
        <v>-19.600000000000001</v>
      </c>
      <c r="F64" s="14">
        <f>-3.3</f>
        <v>-3.3</v>
      </c>
      <c r="G64" s="14">
        <f>0.6</f>
        <v>0.6</v>
      </c>
      <c r="H64" s="14">
        <f>8.1</f>
        <v>8.1</v>
      </c>
      <c r="I64" s="86">
        <f>4</f>
        <v>4</v>
      </c>
      <c r="J64" s="87">
        <f>data비교작업!S67*100</f>
        <v>4.2944785276073647</v>
      </c>
      <c r="K64" s="85" t="e">
        <v>#N/A</v>
      </c>
    </row>
    <row r="65" spans="1:11" ht="18" customHeight="1" x14ac:dyDescent="0.25">
      <c r="A65" s="5">
        <v>42369</v>
      </c>
      <c r="B65" s="79">
        <f>77</f>
        <v>77</v>
      </c>
      <c r="C65" s="80">
        <v>69</v>
      </c>
      <c r="D65" s="14">
        <f>48.8</f>
        <v>48.8</v>
      </c>
      <c r="E65" s="14">
        <f>-14.3</f>
        <v>-14.3</v>
      </c>
      <c r="F65" s="14">
        <f>-4</f>
        <v>-4</v>
      </c>
      <c r="G65" s="14">
        <f>1.1</f>
        <v>1.1000000000000001</v>
      </c>
      <c r="H65" s="14">
        <f>7.5</f>
        <v>7.5</v>
      </c>
      <c r="I65" s="86">
        <f>4.4</f>
        <v>4.4000000000000004</v>
      </c>
      <c r="J65" s="87">
        <f>data비교작업!S68*100</f>
        <v>4.8304213771839706</v>
      </c>
      <c r="K65" s="85" t="e">
        <v>#N/A</v>
      </c>
    </row>
    <row r="66" spans="1:11" ht="18" customHeight="1" x14ac:dyDescent="0.25">
      <c r="A66" s="5">
        <v>42338</v>
      </c>
      <c r="B66" s="79">
        <f>79</f>
        <v>79</v>
      </c>
      <c r="C66" s="80">
        <v>69</v>
      </c>
      <c r="D66" s="14">
        <f>49.1</f>
        <v>49.1</v>
      </c>
      <c r="E66" s="14">
        <f>-5</f>
        <v>-5</v>
      </c>
      <c r="F66" s="14">
        <f>-4.7</f>
        <v>-4.7</v>
      </c>
      <c r="G66" s="14">
        <f>0.8</f>
        <v>0.8</v>
      </c>
      <c r="H66" s="14">
        <f>7.7</f>
        <v>7.7</v>
      </c>
      <c r="I66" s="86">
        <f>4.7</f>
        <v>4.7</v>
      </c>
      <c r="J66" s="87">
        <f>data비교작업!S69*100</f>
        <v>5.0515463917525834</v>
      </c>
      <c r="K66" s="85" t="e">
        <v>#N/A</v>
      </c>
    </row>
    <row r="67" spans="1:11" ht="18" customHeight="1" x14ac:dyDescent="0.25">
      <c r="A67" s="5">
        <v>42308</v>
      </c>
      <c r="B67" s="79">
        <f>81</f>
        <v>81</v>
      </c>
      <c r="C67" s="80">
        <v>73</v>
      </c>
      <c r="D67" s="14">
        <f>49</f>
        <v>49</v>
      </c>
      <c r="E67" s="14">
        <f>-16</f>
        <v>-16</v>
      </c>
      <c r="F67" s="14">
        <f>-4.6</f>
        <v>-4.5999999999999996</v>
      </c>
      <c r="G67" s="14">
        <f>0.8</f>
        <v>0.8</v>
      </c>
      <c r="H67" s="14">
        <f>8.8</f>
        <v>8.8000000000000007</v>
      </c>
      <c r="I67" s="86">
        <f>4.8</f>
        <v>4.8</v>
      </c>
      <c r="J67" s="87">
        <f>data비교작업!S70*100</f>
        <v>4.9638055842812792</v>
      </c>
      <c r="K67" s="85" t="e">
        <v>#N/A</v>
      </c>
    </row>
    <row r="68" spans="1:11" ht="18" customHeight="1" x14ac:dyDescent="0.25">
      <c r="A68" s="5">
        <v>42277</v>
      </c>
      <c r="B68" s="79">
        <f>79</f>
        <v>79</v>
      </c>
      <c r="C68" s="80">
        <v>69</v>
      </c>
      <c r="D68" s="14">
        <f>50</f>
        <v>50</v>
      </c>
      <c r="E68" s="14">
        <f>-8.5</f>
        <v>-8.5</v>
      </c>
      <c r="F68" s="14">
        <f>-4.6</f>
        <v>-4.5999999999999996</v>
      </c>
      <c r="G68" s="14">
        <f>0.5</f>
        <v>0.5</v>
      </c>
      <c r="H68" s="14">
        <f>9.4</f>
        <v>9.4</v>
      </c>
      <c r="I68" s="86">
        <f>4.7</f>
        <v>4.7</v>
      </c>
      <c r="J68" s="87">
        <f>data비교작업!S71*100</f>
        <v>4.9844236760124581</v>
      </c>
      <c r="K68" s="85" t="e">
        <v>#N/A</v>
      </c>
    </row>
    <row r="69" spans="1:11" ht="18" customHeight="1" x14ac:dyDescent="0.25">
      <c r="A69" s="5">
        <v>42247</v>
      </c>
      <c r="B69" s="79">
        <f>78</f>
        <v>78</v>
      </c>
      <c r="C69" s="80">
        <v>69</v>
      </c>
      <c r="D69" s="14">
        <f>50</f>
        <v>50</v>
      </c>
      <c r="E69" s="14">
        <f>-15.2</f>
        <v>-15.2</v>
      </c>
      <c r="F69" s="14">
        <f>-4.5</f>
        <v>-4.5</v>
      </c>
      <c r="G69" s="14">
        <f>0.7</f>
        <v>0.7</v>
      </c>
      <c r="H69" s="14">
        <f>9.2</f>
        <v>9.1999999999999993</v>
      </c>
      <c r="I69" s="86">
        <f>4.6</f>
        <v>4.5999999999999996</v>
      </c>
      <c r="J69" s="87">
        <f>data비교작업!S72*100</f>
        <v>4.9060542797494815</v>
      </c>
      <c r="K69" s="85" t="e">
        <v>#N/A</v>
      </c>
    </row>
    <row r="70" spans="1:11" ht="18" customHeight="1" x14ac:dyDescent="0.25">
      <c r="A70" s="5">
        <v>42216</v>
      </c>
      <c r="B70" s="79">
        <f>79</f>
        <v>79</v>
      </c>
      <c r="C70" s="80">
        <v>70</v>
      </c>
      <c r="D70" s="14">
        <f>51.9</f>
        <v>51.9</v>
      </c>
      <c r="E70" s="14">
        <f>-5.2</f>
        <v>-5.2</v>
      </c>
      <c r="F70" s="14">
        <f>-4.1</f>
        <v>-4.0999999999999996</v>
      </c>
      <c r="G70" s="14">
        <f>0.7</f>
        <v>0.7</v>
      </c>
      <c r="H70" s="14">
        <f>9.3</f>
        <v>9.3000000000000007</v>
      </c>
      <c r="I70" s="86">
        <f>4.6</f>
        <v>4.5999999999999996</v>
      </c>
      <c r="J70" s="87">
        <f>data비교작업!S73*100</f>
        <v>4.9266247379454811</v>
      </c>
      <c r="K70" s="85" t="e">
        <v>#N/A</v>
      </c>
    </row>
    <row r="71" spans="1:11" ht="18" customHeight="1" x14ac:dyDescent="0.25">
      <c r="A71" s="5">
        <v>42185</v>
      </c>
      <c r="B71" s="79">
        <f>74</f>
        <v>74</v>
      </c>
      <c r="C71" s="80">
        <v>66</v>
      </c>
      <c r="D71" s="14">
        <f>52.6</f>
        <v>52.6</v>
      </c>
      <c r="E71" s="14">
        <f>-2.7</f>
        <v>-2.7</v>
      </c>
      <c r="F71" s="14">
        <f>-3.6</f>
        <v>-3.6</v>
      </c>
      <c r="G71" s="14">
        <f>0.7</f>
        <v>0.7</v>
      </c>
      <c r="H71" s="14">
        <f>9</f>
        <v>9</v>
      </c>
      <c r="I71" s="86">
        <f>4.6</f>
        <v>4.5999999999999996</v>
      </c>
      <c r="J71" s="87">
        <f>data비교작업!S74*100</f>
        <v>4.9369747899159693</v>
      </c>
      <c r="K71" s="85" t="e">
        <v>#N/A</v>
      </c>
    </row>
    <row r="72" spans="1:11" ht="18" customHeight="1" x14ac:dyDescent="0.25">
      <c r="A72" s="5">
        <v>42155</v>
      </c>
      <c r="B72" s="79">
        <f>83</f>
        <v>83</v>
      </c>
      <c r="C72" s="80">
        <v>75</v>
      </c>
      <c r="D72" s="14">
        <f>52.7</f>
        <v>52.7</v>
      </c>
      <c r="E72" s="14">
        <f>-11</f>
        <v>-11</v>
      </c>
      <c r="F72" s="14">
        <f>-3.5</f>
        <v>-3.5</v>
      </c>
      <c r="G72" s="14">
        <f>0.6</f>
        <v>0.6</v>
      </c>
      <c r="H72" s="14">
        <f>9.3</f>
        <v>9.3000000000000007</v>
      </c>
      <c r="I72" s="86">
        <f>4.7</f>
        <v>4.7</v>
      </c>
      <c r="J72" s="87">
        <f>data비교작업!S75*100</f>
        <v>4.8421052631578885</v>
      </c>
      <c r="K72" s="85" t="e">
        <v>#N/A</v>
      </c>
    </row>
    <row r="73" spans="1:11" ht="18" customHeight="1" x14ac:dyDescent="0.25">
      <c r="A73" s="5">
        <v>42124</v>
      </c>
      <c r="B73" s="79">
        <f>88</f>
        <v>88</v>
      </c>
      <c r="C73" s="80">
        <v>78</v>
      </c>
      <c r="D73" s="14">
        <f>52.1</f>
        <v>52.1</v>
      </c>
      <c r="E73" s="14">
        <f>-8</f>
        <v>-8</v>
      </c>
      <c r="F73" s="14">
        <f>-3.6</f>
        <v>-3.6</v>
      </c>
      <c r="G73" s="14">
        <f>0.4</f>
        <v>0.4</v>
      </c>
      <c r="H73" s="14">
        <f>9</f>
        <v>9</v>
      </c>
      <c r="I73" s="86">
        <f>4.4</f>
        <v>4.4000000000000004</v>
      </c>
      <c r="J73" s="87">
        <f>data비교작업!S76*100</f>
        <v>4.540654699049627</v>
      </c>
      <c r="K73" s="85" t="e">
        <v>#N/A</v>
      </c>
    </row>
    <row r="74" spans="1:11" ht="18" customHeight="1" x14ac:dyDescent="0.25">
      <c r="A74" s="5">
        <v>42094</v>
      </c>
      <c r="B74" s="79">
        <f>83</f>
        <v>83</v>
      </c>
      <c r="C74" s="80">
        <v>74</v>
      </c>
      <c r="D74" s="14">
        <f>52.3</f>
        <v>52.3</v>
      </c>
      <c r="E74" s="14">
        <f>-4.6</f>
        <v>-4.5999999999999996</v>
      </c>
      <c r="F74" s="14">
        <f>-3.7</f>
        <v>-3.7</v>
      </c>
      <c r="G74" s="14">
        <f>0.5</f>
        <v>0.5</v>
      </c>
      <c r="H74" s="14">
        <f>8.3</f>
        <v>8.3000000000000007</v>
      </c>
      <c r="I74" s="86">
        <f>4.4</f>
        <v>4.4000000000000004</v>
      </c>
      <c r="J74" s="87">
        <f>data비교작업!S77*100</f>
        <v>4.4491525423728691</v>
      </c>
      <c r="K74" s="85" t="e">
        <v>#N/A</v>
      </c>
    </row>
    <row r="75" spans="1:11" ht="18" customHeight="1" x14ac:dyDescent="0.25">
      <c r="A75" s="5">
        <v>42063</v>
      </c>
      <c r="B75" s="79">
        <f>84</f>
        <v>84</v>
      </c>
      <c r="C75" s="80">
        <v>71</v>
      </c>
      <c r="D75" s="14">
        <f>53.1</f>
        <v>53.1</v>
      </c>
      <c r="E75" s="14">
        <f>-3.4</f>
        <v>-3.4</v>
      </c>
      <c r="F75" s="14">
        <f>-3.6</f>
        <v>-3.6</v>
      </c>
      <c r="G75" s="14">
        <f>0.6</f>
        <v>0.6</v>
      </c>
      <c r="H75" s="14">
        <f>8</f>
        <v>8</v>
      </c>
      <c r="I75" s="86">
        <f>4.2</f>
        <v>4.2</v>
      </c>
      <c r="J75" s="87">
        <f>data비교작업!S78*100</f>
        <v>4.2462845010615711</v>
      </c>
      <c r="K75" s="85" t="e">
        <v>#N/A</v>
      </c>
    </row>
    <row r="76" spans="1:11" ht="18" customHeight="1" x14ac:dyDescent="0.25">
      <c r="A76" s="5">
        <v>42035</v>
      </c>
      <c r="B76" s="79">
        <f>84</f>
        <v>84</v>
      </c>
      <c r="C76" s="80">
        <v>71</v>
      </c>
      <c r="D76" s="14">
        <f>54</f>
        <v>54</v>
      </c>
      <c r="E76" s="14">
        <f>-1</f>
        <v>-1</v>
      </c>
      <c r="F76" s="14">
        <f>-3.6</f>
        <v>-3.6</v>
      </c>
      <c r="G76" s="14">
        <f>1</f>
        <v>1</v>
      </c>
      <c r="H76" s="14">
        <f>8</f>
        <v>8</v>
      </c>
      <c r="I76" s="86">
        <f>4.2</f>
        <v>4.2</v>
      </c>
      <c r="J76" s="87">
        <f>data비교작업!S79*100</f>
        <v>4.0425531914893584</v>
      </c>
      <c r="K76" s="85" t="e">
        <v>#N/A</v>
      </c>
    </row>
    <row r="77" spans="1:11" ht="18" customHeight="1" x14ac:dyDescent="0.25">
      <c r="A77" s="5">
        <v>42004</v>
      </c>
      <c r="B77" s="79">
        <f>83</f>
        <v>83</v>
      </c>
      <c r="C77" s="80">
        <v>71</v>
      </c>
      <c r="D77" s="14">
        <f>55.7</f>
        <v>55.7</v>
      </c>
      <c r="E77" s="14">
        <f>3.1</f>
        <v>3.1</v>
      </c>
      <c r="F77" s="14">
        <f>-2.1</f>
        <v>-2.1</v>
      </c>
      <c r="G77" s="14">
        <f>0.8</f>
        <v>0.8</v>
      </c>
      <c r="H77" s="14">
        <f>8.1</f>
        <v>8.1</v>
      </c>
      <c r="I77" s="86">
        <f>3.9</f>
        <v>3.9</v>
      </c>
      <c r="J77" s="87">
        <f>data비교작업!S80*100</f>
        <v>3.8420490928495137</v>
      </c>
      <c r="K77" s="85" t="e">
        <v>#N/A</v>
      </c>
    </row>
    <row r="78" spans="1:11" ht="18" customHeight="1" x14ac:dyDescent="0.25">
      <c r="A78" s="5">
        <v>41973</v>
      </c>
      <c r="B78" s="79">
        <f>82</f>
        <v>82</v>
      </c>
      <c r="C78" s="80">
        <v>71</v>
      </c>
      <c r="D78" s="14">
        <f>56.3</f>
        <v>56.3</v>
      </c>
      <c r="E78" s="14">
        <f>-2.7</f>
        <v>-2.7</v>
      </c>
      <c r="F78" s="14">
        <f>-0.9</f>
        <v>-0.9</v>
      </c>
      <c r="G78" s="14">
        <f>1</f>
        <v>1</v>
      </c>
      <c r="H78" s="14">
        <f>8.3</f>
        <v>8.3000000000000007</v>
      </c>
      <c r="I78" s="86">
        <f>3.9</f>
        <v>3.9</v>
      </c>
      <c r="J78" s="87">
        <f>data비교작업!S81*100</f>
        <v>3.9657020364415896</v>
      </c>
      <c r="K78" s="85" t="e">
        <v>#N/A</v>
      </c>
    </row>
    <row r="79" spans="1:11" ht="18" customHeight="1" x14ac:dyDescent="0.25">
      <c r="A79" s="5">
        <v>41943</v>
      </c>
      <c r="B79" s="79">
        <f>81</f>
        <v>81</v>
      </c>
      <c r="C79" s="80">
        <v>69</v>
      </c>
      <c r="D79" s="14">
        <f>56.2</f>
        <v>56.2</v>
      </c>
      <c r="E79" s="14">
        <f>2.3</f>
        <v>2.2999999999999998</v>
      </c>
      <c r="F79" s="14">
        <f>-0.8</f>
        <v>-0.8</v>
      </c>
      <c r="G79" s="14">
        <f>1.1</f>
        <v>1.1000000000000001</v>
      </c>
      <c r="H79" s="14">
        <f>7.5</f>
        <v>7.5</v>
      </c>
      <c r="I79" s="86">
        <f>3.9</f>
        <v>3.9</v>
      </c>
      <c r="J79" s="87">
        <f>data비교작업!S82*100</f>
        <v>4.0904198062432693</v>
      </c>
      <c r="K79" s="85" t="e">
        <v>#N/A</v>
      </c>
    </row>
    <row r="80" spans="1:11" ht="18" customHeight="1" x14ac:dyDescent="0.25">
      <c r="A80" s="5">
        <v>41912</v>
      </c>
      <c r="B80" s="79">
        <f>80</f>
        <v>80</v>
      </c>
      <c r="C80" s="80">
        <v>72</v>
      </c>
      <c r="D80" s="14">
        <f>55.7</f>
        <v>55.7</v>
      </c>
      <c r="E80" s="14">
        <f>6.3</f>
        <v>6.3</v>
      </c>
      <c r="F80" s="14">
        <f>-0.5</f>
        <v>-0.5</v>
      </c>
      <c r="G80" s="14">
        <f>1.1</f>
        <v>1.1000000000000001</v>
      </c>
      <c r="H80" s="14">
        <f>7.1</f>
        <v>7.1</v>
      </c>
      <c r="I80" s="86">
        <f>4</f>
        <v>4</v>
      </c>
      <c r="J80" s="87">
        <f>data비교작업!S83*100</f>
        <v>4.2207792207792112</v>
      </c>
      <c r="K80" s="85" t="e">
        <v>#N/A</v>
      </c>
    </row>
    <row r="81" spans="1:11" ht="18" customHeight="1" x14ac:dyDescent="0.25">
      <c r="A81" s="5">
        <v>41882</v>
      </c>
      <c r="B81" s="79">
        <f>80</f>
        <v>80</v>
      </c>
      <c r="C81" s="80">
        <v>70</v>
      </c>
      <c r="D81" s="14">
        <f>56.3</f>
        <v>56.3</v>
      </c>
      <c r="E81" s="14">
        <f>-0.4</f>
        <v>-0.4</v>
      </c>
      <c r="F81" s="14">
        <f>-0.2</f>
        <v>-0.2</v>
      </c>
      <c r="G81" s="14">
        <f>1.4</f>
        <v>1.4</v>
      </c>
      <c r="H81" s="14">
        <f>7.6</f>
        <v>7.6</v>
      </c>
      <c r="I81" s="86">
        <f>3.8</f>
        <v>3.8</v>
      </c>
      <c r="J81" s="87">
        <f>data비교작업!S84*100</f>
        <v>3.6796536796536703</v>
      </c>
      <c r="K81" s="85" t="e">
        <v>#N/A</v>
      </c>
    </row>
    <row r="82" spans="1:11" ht="18" customHeight="1" x14ac:dyDescent="0.25">
      <c r="A82" s="5">
        <v>41851</v>
      </c>
      <c r="B82" s="79">
        <f>81</f>
        <v>81</v>
      </c>
      <c r="C82" s="80">
        <v>70</v>
      </c>
      <c r="D82" s="14">
        <f>55.1</f>
        <v>55.1</v>
      </c>
      <c r="E82" s="14">
        <f>5.2</f>
        <v>5.2</v>
      </c>
      <c r="F82" s="14">
        <f>0.2</f>
        <v>0.2</v>
      </c>
      <c r="G82" s="14">
        <f>1.6</f>
        <v>1.6</v>
      </c>
      <c r="H82" s="14">
        <f>6.5</f>
        <v>6.5</v>
      </c>
      <c r="I82" s="86">
        <f>3.7</f>
        <v>3.7</v>
      </c>
      <c r="J82" s="87">
        <f>data비교작업!S85*100</f>
        <v>3.6956521739130501</v>
      </c>
      <c r="K82" s="85" t="e">
        <v>#N/A</v>
      </c>
    </row>
    <row r="83" spans="1:11" ht="18" customHeight="1" x14ac:dyDescent="0.25">
      <c r="A83" s="5">
        <v>41820</v>
      </c>
      <c r="B83" s="79">
        <f>81</f>
        <v>81</v>
      </c>
      <c r="C83" s="80">
        <v>71</v>
      </c>
      <c r="D83" s="14">
        <f>55</f>
        <v>55</v>
      </c>
      <c r="E83" s="14">
        <f>2.4</f>
        <v>2.4</v>
      </c>
      <c r="F83" s="14">
        <f>0.1</f>
        <v>0.1</v>
      </c>
      <c r="G83" s="14">
        <f>1.7</f>
        <v>1.7</v>
      </c>
      <c r="H83" s="14">
        <f>6.1</f>
        <v>6.1</v>
      </c>
      <c r="I83" s="86">
        <f>4</f>
        <v>4</v>
      </c>
      <c r="J83" s="87">
        <f>data비교작업!S86*100</f>
        <v>3.9301310043668223</v>
      </c>
      <c r="K83" s="85" t="e">
        <v>#N/A</v>
      </c>
    </row>
    <row r="84" spans="1:11" ht="18" customHeight="1" x14ac:dyDescent="0.25">
      <c r="A84" s="5">
        <v>41790</v>
      </c>
      <c r="B84" s="79">
        <f>84</f>
        <v>84</v>
      </c>
      <c r="C84" s="80">
        <v>74</v>
      </c>
      <c r="D84" s="14">
        <f>55.7</f>
        <v>55.7</v>
      </c>
      <c r="E84" s="14">
        <f>-1.5</f>
        <v>-1.5</v>
      </c>
      <c r="F84" s="14">
        <f>0</f>
        <v>0</v>
      </c>
      <c r="G84" s="14">
        <f>1.7</f>
        <v>1.7</v>
      </c>
      <c r="H84" s="14">
        <f>6</f>
        <v>6</v>
      </c>
      <c r="I84" s="86">
        <f>4</f>
        <v>4</v>
      </c>
      <c r="J84" s="87">
        <f>data비교작업!S87*100</f>
        <v>4.5104510451045039</v>
      </c>
      <c r="K84" s="85" t="e">
        <v>#N/A</v>
      </c>
    </row>
    <row r="85" spans="1:11" ht="18" customHeight="1" x14ac:dyDescent="0.25">
      <c r="A85" s="5">
        <v>41759</v>
      </c>
      <c r="B85" s="79">
        <f>86</f>
        <v>86</v>
      </c>
      <c r="C85" s="80">
        <v>77</v>
      </c>
      <c r="D85" s="14">
        <f>56.6</f>
        <v>56.6</v>
      </c>
      <c r="E85" s="14">
        <f>8.9</f>
        <v>8.9</v>
      </c>
      <c r="F85" s="14">
        <f>-0.3</f>
        <v>-0.3</v>
      </c>
      <c r="G85" s="14">
        <f>1.5</f>
        <v>1.5</v>
      </c>
      <c r="H85" s="14">
        <f>5.5</f>
        <v>5.5</v>
      </c>
      <c r="I85" s="86">
        <f>4.2</f>
        <v>4.2</v>
      </c>
      <c r="J85" s="87">
        <f>data비교작업!S88*100</f>
        <v>4.6408839779005557</v>
      </c>
      <c r="K85" s="85" t="e">
        <v>#N/A</v>
      </c>
    </row>
    <row r="86" spans="1:11" ht="18" customHeight="1" x14ac:dyDescent="0.25">
      <c r="A86" s="5">
        <v>41729</v>
      </c>
      <c r="B86" s="79">
        <f>83</f>
        <v>83</v>
      </c>
      <c r="C86" s="80">
        <v>75</v>
      </c>
      <c r="D86" s="14">
        <f>55.9</f>
        <v>55.9</v>
      </c>
      <c r="E86" s="14">
        <f>3.7</f>
        <v>3.7</v>
      </c>
      <c r="F86" s="14">
        <f>-0.5</f>
        <v>-0.5</v>
      </c>
      <c r="G86" s="14">
        <f>1.3</f>
        <v>1.3</v>
      </c>
      <c r="H86" s="14">
        <f>5.5</f>
        <v>5.5</v>
      </c>
      <c r="I86" s="86">
        <f>4.2</f>
        <v>4.2</v>
      </c>
      <c r="J86" s="87">
        <f>data비교작업!S89*100</f>
        <v>4.5404208194905964</v>
      </c>
      <c r="K86" s="85" t="e">
        <v>#N/A</v>
      </c>
    </row>
    <row r="87" spans="1:11" ht="18" customHeight="1" x14ac:dyDescent="0.25">
      <c r="A87" s="5">
        <v>41698</v>
      </c>
      <c r="B87" s="79">
        <f>83</f>
        <v>83</v>
      </c>
      <c r="C87" s="80">
        <v>74</v>
      </c>
      <c r="D87" s="14">
        <f>55</f>
        <v>55</v>
      </c>
      <c r="E87" s="14">
        <f>1.4</f>
        <v>1.4</v>
      </c>
      <c r="F87" s="14">
        <f>-0.9</f>
        <v>-0.9</v>
      </c>
      <c r="G87" s="14">
        <f>1</f>
        <v>1</v>
      </c>
      <c r="H87" s="14">
        <f>5.2</f>
        <v>5.2</v>
      </c>
      <c r="I87" s="86">
        <f>4.4</f>
        <v>4.4000000000000004</v>
      </c>
      <c r="J87" s="87">
        <f>data비교작업!S90*100</f>
        <v>4.6666666666666696</v>
      </c>
      <c r="K87" s="85" t="e">
        <v>#N/A</v>
      </c>
    </row>
    <row r="88" spans="1:11" ht="18" customHeight="1" x14ac:dyDescent="0.25">
      <c r="A88" s="5">
        <v>41670</v>
      </c>
      <c r="B88" s="79">
        <f>83</f>
        <v>83</v>
      </c>
      <c r="C88" s="80">
        <v>72</v>
      </c>
      <c r="D88" s="14">
        <f>52.5</f>
        <v>52.5</v>
      </c>
      <c r="E88" s="14">
        <f>-0.2</f>
        <v>-0.2</v>
      </c>
      <c r="F88" s="14">
        <f>-0.3</f>
        <v>-0.3</v>
      </c>
      <c r="G88" s="14">
        <f>1.1</f>
        <v>1.1000000000000001</v>
      </c>
      <c r="H88" s="14">
        <f>5.2</f>
        <v>5.2</v>
      </c>
      <c r="I88" s="86">
        <f>4.5</f>
        <v>4.5</v>
      </c>
      <c r="J88" s="87">
        <f>data비교작업!S91*100</f>
        <v>4.6770601336302935</v>
      </c>
      <c r="K88" s="85" t="e">
        <v>#N/A</v>
      </c>
    </row>
    <row r="89" spans="1:11" ht="18" customHeight="1" x14ac:dyDescent="0.25">
      <c r="A89" s="5">
        <v>41639</v>
      </c>
      <c r="B89" s="79">
        <f>82</f>
        <v>82</v>
      </c>
      <c r="C89" s="80">
        <v>73</v>
      </c>
      <c r="D89" s="14">
        <f>56.5</f>
        <v>56.5</v>
      </c>
      <c r="E89" s="14">
        <f>6.9</f>
        <v>6.9</v>
      </c>
      <c r="F89" s="14">
        <f>-0.4</f>
        <v>-0.4</v>
      </c>
      <c r="G89" s="14">
        <f>1.1</f>
        <v>1.1000000000000001</v>
      </c>
      <c r="H89" s="14">
        <f>5.3</f>
        <v>5.3</v>
      </c>
      <c r="I89" s="86">
        <f>4.5</f>
        <v>4.5</v>
      </c>
      <c r="J89" s="87">
        <f>data비교작업!S92*100</f>
        <v>4.5758928571428674</v>
      </c>
      <c r="K89" s="85" t="e">
        <v>#N/A</v>
      </c>
    </row>
    <row r="90" spans="1:11" ht="18" customHeight="1" x14ac:dyDescent="0.25">
      <c r="A90" s="5">
        <v>41608</v>
      </c>
      <c r="B90" s="79">
        <f>83</f>
        <v>83</v>
      </c>
      <c r="C90" s="80">
        <v>74</v>
      </c>
      <c r="D90" s="14">
        <f>55.5</f>
        <v>55.5</v>
      </c>
      <c r="E90" s="14">
        <f>0.2</f>
        <v>0.2</v>
      </c>
      <c r="F90" s="14">
        <f>-0.9</f>
        <v>-0.9</v>
      </c>
      <c r="G90" s="14">
        <f>1.2</f>
        <v>1.2</v>
      </c>
      <c r="H90" s="14">
        <f>5.1</f>
        <v>5.0999999999999996</v>
      </c>
      <c r="I90" s="86">
        <f>4.3</f>
        <v>4.3</v>
      </c>
      <c r="J90" s="87">
        <f>data비교작업!S93*100</f>
        <v>4.5964125560538047</v>
      </c>
      <c r="K90" s="85" t="e">
        <v>#N/A</v>
      </c>
    </row>
    <row r="91" spans="1:11" ht="18" customHeight="1" x14ac:dyDescent="0.25">
      <c r="A91" s="5">
        <v>41578</v>
      </c>
      <c r="B91" s="79">
        <f>81</f>
        <v>81</v>
      </c>
      <c r="C91" s="80">
        <v>75</v>
      </c>
      <c r="D91" s="14">
        <f>54.6</f>
        <v>54.6</v>
      </c>
      <c r="E91" s="14">
        <f>7.2</f>
        <v>7.2</v>
      </c>
      <c r="F91" s="14">
        <f>-1.4</f>
        <v>-1.4</v>
      </c>
      <c r="G91" s="14">
        <f>0.9</f>
        <v>0.9</v>
      </c>
      <c r="H91" s="14">
        <f>4.7</f>
        <v>4.7</v>
      </c>
      <c r="I91" s="86">
        <f>4.1</f>
        <v>4.0999999999999996</v>
      </c>
      <c r="J91" s="87">
        <f>data비교작업!S94*100</f>
        <v>4.4994375703037122</v>
      </c>
      <c r="K91" s="85" t="e">
        <v>#N/A</v>
      </c>
    </row>
    <row r="92" spans="1:11" ht="18" customHeight="1" x14ac:dyDescent="0.25">
      <c r="A92" s="5">
        <v>41547</v>
      </c>
      <c r="B92" s="79">
        <f>82</f>
        <v>82</v>
      </c>
      <c r="C92" s="80">
        <v>72</v>
      </c>
      <c r="D92" s="14">
        <f>54.6</f>
        <v>54.6</v>
      </c>
      <c r="E92" s="14">
        <f>-1.7</f>
        <v>-1.7</v>
      </c>
      <c r="F92" s="14">
        <f>-1.8</f>
        <v>-1.8</v>
      </c>
      <c r="G92" s="14">
        <f>1</f>
        <v>1</v>
      </c>
      <c r="H92" s="14">
        <f>4.6</f>
        <v>4.5999999999999996</v>
      </c>
      <c r="I92" s="86">
        <f>4</f>
        <v>4</v>
      </c>
      <c r="J92" s="87">
        <f>data비교작업!S95*100</f>
        <v>4.2889390519187494</v>
      </c>
      <c r="K92" s="85" t="e">
        <v>#N/A</v>
      </c>
    </row>
    <row r="93" spans="1:11" ht="18" customHeight="1" x14ac:dyDescent="0.25">
      <c r="A93" s="5">
        <v>41517</v>
      </c>
      <c r="B93" s="79">
        <f>81</f>
        <v>81</v>
      </c>
      <c r="C93" s="80">
        <v>70</v>
      </c>
      <c r="D93" s="14">
        <f>54</f>
        <v>54</v>
      </c>
      <c r="E93" s="14">
        <f>7.6</f>
        <v>7.6</v>
      </c>
      <c r="F93" s="14">
        <f>-1.3</f>
        <v>-1.3</v>
      </c>
      <c r="G93" s="14">
        <f>1.5</f>
        <v>1.5</v>
      </c>
      <c r="H93" s="14">
        <f>3.9</f>
        <v>3.9</v>
      </c>
      <c r="I93" s="86">
        <f>4.2</f>
        <v>4.2</v>
      </c>
      <c r="J93" s="87">
        <f>data비교작업!S96*100</f>
        <v>4.4067796610169552</v>
      </c>
      <c r="K93" s="85" t="e">
        <v>#N/A</v>
      </c>
    </row>
    <row r="94" spans="1:11" ht="18" customHeight="1" x14ac:dyDescent="0.25">
      <c r="A94" s="5">
        <v>41486</v>
      </c>
      <c r="B94" s="79">
        <f>82</f>
        <v>82</v>
      </c>
      <c r="C94" s="80">
        <v>70</v>
      </c>
      <c r="D94" s="14">
        <f>53.8</f>
        <v>53.8</v>
      </c>
      <c r="E94" s="14">
        <f>2.6</f>
        <v>2.6</v>
      </c>
      <c r="F94" s="14">
        <f>-1</f>
        <v>-1</v>
      </c>
      <c r="G94" s="14">
        <f>1.6</f>
        <v>1.6</v>
      </c>
      <c r="H94" s="14">
        <f>4.6</f>
        <v>4.5999999999999996</v>
      </c>
      <c r="I94" s="86">
        <f>4</f>
        <v>4</v>
      </c>
      <c r="J94" s="87">
        <f>data비교작업!S97*100</f>
        <v>4.0723981900452424</v>
      </c>
      <c r="K94" s="85" t="e">
        <v>#N/A</v>
      </c>
    </row>
    <row r="95" spans="1:11" ht="18" customHeight="1" x14ac:dyDescent="0.25">
      <c r="A95" s="5">
        <v>41455</v>
      </c>
      <c r="B95" s="79">
        <f>83</f>
        <v>83</v>
      </c>
      <c r="C95" s="80">
        <v>74</v>
      </c>
      <c r="D95" s="14">
        <f>51.1</f>
        <v>51.1</v>
      </c>
      <c r="E95" s="14">
        <f>-1</f>
        <v>-1</v>
      </c>
      <c r="F95" s="14">
        <f>-1.4</f>
        <v>-1.4</v>
      </c>
      <c r="G95" s="14">
        <f>1.2</f>
        <v>1.2</v>
      </c>
      <c r="H95" s="14">
        <f>4.9</f>
        <v>4.9000000000000004</v>
      </c>
      <c r="I95" s="86">
        <f>3.9</f>
        <v>3.9</v>
      </c>
      <c r="J95" s="87">
        <f>data비교작업!S98*100</f>
        <v>3.7372593431483545</v>
      </c>
      <c r="K95" s="85" t="e">
        <v>#N/A</v>
      </c>
    </row>
    <row r="96" spans="1:11" ht="18" customHeight="1" x14ac:dyDescent="0.25">
      <c r="A96" s="5">
        <v>41425</v>
      </c>
      <c r="B96" s="79">
        <f>83</f>
        <v>83</v>
      </c>
      <c r="C96" s="80">
        <v>73</v>
      </c>
      <c r="D96" s="14">
        <f>50.8</f>
        <v>50.8</v>
      </c>
      <c r="E96" s="14">
        <f>3.1</f>
        <v>3.1</v>
      </c>
      <c r="F96" s="14">
        <f>-2.6</f>
        <v>-2.6</v>
      </c>
      <c r="G96" s="14">
        <f>1.1</f>
        <v>1.1000000000000001</v>
      </c>
      <c r="H96" s="14">
        <f>4.8</f>
        <v>4.8</v>
      </c>
      <c r="I96" s="86">
        <f>3.5</f>
        <v>3.5</v>
      </c>
      <c r="J96" s="87">
        <f>data비교작업!S99*100</f>
        <v>3.2954545454545521</v>
      </c>
      <c r="K96" s="85" t="e">
        <v>#N/A</v>
      </c>
    </row>
    <row r="97" spans="1:11" ht="18" customHeight="1" x14ac:dyDescent="0.25">
      <c r="A97" s="5">
        <v>41394</v>
      </c>
      <c r="B97" s="79">
        <f>83</f>
        <v>83</v>
      </c>
      <c r="C97" s="80">
        <v>73</v>
      </c>
      <c r="D97" s="14">
        <f>51</f>
        <v>51</v>
      </c>
      <c r="E97" s="14">
        <f>0.1</f>
        <v>0.1</v>
      </c>
      <c r="F97" s="14">
        <f>-2.8</f>
        <v>-2.8</v>
      </c>
      <c r="G97" s="14">
        <f>1.3</f>
        <v>1.3</v>
      </c>
      <c r="H97" s="14">
        <f>5.1</f>
        <v>5.0999999999999996</v>
      </c>
      <c r="I97" s="86">
        <f>3.3</f>
        <v>3.3</v>
      </c>
      <c r="J97" s="87">
        <f>data비교작업!S100*100</f>
        <v>3.0751708428246047</v>
      </c>
      <c r="K97" s="85" t="e">
        <v>#N/A</v>
      </c>
    </row>
    <row r="98" spans="1:11" ht="18" customHeight="1" x14ac:dyDescent="0.25">
      <c r="A98" s="5">
        <v>41364</v>
      </c>
      <c r="B98" s="79">
        <f>80</f>
        <v>80</v>
      </c>
      <c r="C98" s="80">
        <v>71</v>
      </c>
      <c r="D98" s="14">
        <f>51.9</f>
        <v>51.9</v>
      </c>
      <c r="E98" s="14">
        <f>0</f>
        <v>0</v>
      </c>
      <c r="F98" s="14">
        <f>-2.4</f>
        <v>-2.4</v>
      </c>
      <c r="G98" s="14">
        <f>1.5</f>
        <v>1.5</v>
      </c>
      <c r="H98" s="14">
        <f>5</f>
        <v>5</v>
      </c>
      <c r="I98" s="86">
        <f>3.4</f>
        <v>3.4</v>
      </c>
      <c r="J98" s="87">
        <f>data비교작업!S101*100</f>
        <v>3.1999999999999966</v>
      </c>
      <c r="K98" s="85" t="e">
        <v>#N/A</v>
      </c>
    </row>
    <row r="99" spans="1:11" ht="18" customHeight="1" x14ac:dyDescent="0.25">
      <c r="A99" s="5">
        <v>41333</v>
      </c>
      <c r="B99" s="79">
        <f>80</f>
        <v>80</v>
      </c>
      <c r="C99" s="80">
        <v>68</v>
      </c>
      <c r="D99" s="14">
        <f>54.2</f>
        <v>54.2</v>
      </c>
      <c r="E99" s="14">
        <f>-8.6</f>
        <v>-8.6</v>
      </c>
      <c r="F99" s="14">
        <f>-1.6</f>
        <v>-1.6</v>
      </c>
      <c r="G99" s="14">
        <f>1.6</f>
        <v>1.6</v>
      </c>
      <c r="H99" s="14">
        <f>5.3</f>
        <v>5.3</v>
      </c>
      <c r="I99" s="86">
        <f>3.3</f>
        <v>3.3</v>
      </c>
      <c r="J99" s="87">
        <f>data비교작업!S102*100</f>
        <v>3.3295063145809483</v>
      </c>
      <c r="K99" s="85" t="e">
        <v>#N/A</v>
      </c>
    </row>
    <row r="100" spans="1:11" ht="18" customHeight="1" x14ac:dyDescent="0.25">
      <c r="A100" s="5">
        <v>41305</v>
      </c>
      <c r="B100" s="79">
        <f>78</f>
        <v>78</v>
      </c>
      <c r="C100" s="80">
        <v>69</v>
      </c>
      <c r="D100" s="14">
        <f>53.3</f>
        <v>53.3</v>
      </c>
      <c r="E100" s="14">
        <f>10.9</f>
        <v>10.9</v>
      </c>
      <c r="F100" s="14">
        <f>-1.6</f>
        <v>-1.6</v>
      </c>
      <c r="G100" s="14">
        <f>1.6</f>
        <v>1.6</v>
      </c>
      <c r="H100" s="14">
        <f>4.8</f>
        <v>4.8</v>
      </c>
      <c r="I100" s="86">
        <f>3.4</f>
        <v>3.4</v>
      </c>
      <c r="J100" s="87">
        <f>data비교작업!S103*100</f>
        <v>3.6951501154734445</v>
      </c>
      <c r="K100" s="85" t="e">
        <v>#N/A</v>
      </c>
    </row>
    <row r="101" spans="1:11" ht="18" customHeight="1" x14ac:dyDescent="0.25">
      <c r="A101" s="5">
        <v>41274</v>
      </c>
      <c r="B101" s="79">
        <f>78</f>
        <v>78</v>
      </c>
      <c r="C101" s="80">
        <v>68</v>
      </c>
      <c r="D101" s="14">
        <f>50.1</f>
        <v>50.1</v>
      </c>
      <c r="E101" s="14">
        <f>-6</f>
        <v>-6</v>
      </c>
      <c r="F101" s="14">
        <f>-1.2</f>
        <v>-1.2</v>
      </c>
      <c r="G101" s="14">
        <f>1.4</f>
        <v>1.4</v>
      </c>
      <c r="H101" s="14">
        <f>4.5</f>
        <v>4.5</v>
      </c>
      <c r="I101" s="86">
        <f>3.3</f>
        <v>3.3</v>
      </c>
      <c r="J101" s="87">
        <f>data비교작업!S104*100</f>
        <v>3.9443155452436098</v>
      </c>
      <c r="K101" s="85" t="e">
        <v>#N/A</v>
      </c>
    </row>
    <row r="102" spans="1:11" ht="18" customHeight="1" x14ac:dyDescent="0.25">
      <c r="A102" s="5">
        <v>41243</v>
      </c>
      <c r="B102" s="79">
        <f>78</f>
        <v>78</v>
      </c>
      <c r="C102" s="80">
        <v>66</v>
      </c>
      <c r="D102" s="14">
        <f>48</f>
        <v>48</v>
      </c>
      <c r="E102" s="14">
        <f>3.9</f>
        <v>3.9</v>
      </c>
      <c r="F102" s="14">
        <f>-0.9</f>
        <v>-0.9</v>
      </c>
      <c r="G102" s="14">
        <f>1.6</f>
        <v>1.6</v>
      </c>
      <c r="H102" s="14">
        <f>4.4</f>
        <v>4.4000000000000004</v>
      </c>
      <c r="I102" s="86">
        <f>3.1</f>
        <v>3.1</v>
      </c>
      <c r="J102" s="87">
        <f>data비교작업!S105*100</f>
        <v>3.720930232558143</v>
      </c>
      <c r="K102" s="85" t="e">
        <v>#N/A</v>
      </c>
    </row>
    <row r="103" spans="1:11" ht="18" customHeight="1" x14ac:dyDescent="0.25">
      <c r="A103" s="5">
        <v>41213</v>
      </c>
      <c r="B103" s="79">
        <f>79</f>
        <v>79</v>
      </c>
      <c r="C103" s="80">
        <v>68</v>
      </c>
      <c r="D103" s="14">
        <f>50.5</f>
        <v>50.5</v>
      </c>
      <c r="E103" s="14">
        <f>1</f>
        <v>1</v>
      </c>
      <c r="F103" s="14">
        <f>-0.5</f>
        <v>-0.5</v>
      </c>
      <c r="G103" s="14">
        <f>2.1</f>
        <v>2.1</v>
      </c>
      <c r="H103" s="14">
        <f>4.6</f>
        <v>4.5999999999999996</v>
      </c>
      <c r="I103" s="86">
        <f>2.9</f>
        <v>2.9</v>
      </c>
      <c r="J103" s="87">
        <f>data비교작업!S106*100</f>
        <v>3.4924330616996504</v>
      </c>
      <c r="K103" s="85" t="e">
        <v>#N/A</v>
      </c>
    </row>
    <row r="104" spans="1:11" ht="18" customHeight="1" x14ac:dyDescent="0.25">
      <c r="A104" s="5">
        <v>41182</v>
      </c>
      <c r="B104" s="79">
        <f>81</f>
        <v>81</v>
      </c>
      <c r="C104" s="80">
        <v>68</v>
      </c>
      <c r="D104" s="14">
        <f>50.8</f>
        <v>50.8</v>
      </c>
      <c r="E104" s="14">
        <f>-2.4</f>
        <v>-2.4</v>
      </c>
      <c r="F104" s="14">
        <f>0.2</f>
        <v>0.2</v>
      </c>
      <c r="G104" s="14">
        <f>2.1</f>
        <v>2.1</v>
      </c>
      <c r="H104" s="14">
        <f>5.2</f>
        <v>5.2</v>
      </c>
      <c r="I104" s="86">
        <f>2.9</f>
        <v>2.9</v>
      </c>
      <c r="J104" s="87">
        <f>data비교작업!S107*100</f>
        <v>3.1431897555296726</v>
      </c>
      <c r="K104" s="85" t="e">
        <v>#N/A</v>
      </c>
    </row>
    <row r="105" spans="1:11" ht="18" customHeight="1" x14ac:dyDescent="0.25">
      <c r="A105" s="5">
        <v>41152</v>
      </c>
      <c r="B105" s="79">
        <f>84</f>
        <v>84</v>
      </c>
      <c r="C105" s="80">
        <v>69</v>
      </c>
      <c r="D105" s="14">
        <f>49</f>
        <v>49</v>
      </c>
      <c r="E105" s="14">
        <f>-6</f>
        <v>-6</v>
      </c>
      <c r="F105" s="14">
        <f>-0.1</f>
        <v>-0.1</v>
      </c>
      <c r="G105" s="14">
        <f>1.3</f>
        <v>1.3</v>
      </c>
      <c r="H105" s="14">
        <f>5.7</f>
        <v>5.7</v>
      </c>
      <c r="I105" s="86">
        <f>3</f>
        <v>3</v>
      </c>
      <c r="J105" s="87">
        <f>data비교작업!S108*100</f>
        <v>3.0267753201396905</v>
      </c>
      <c r="K105" s="85" t="e">
        <v>#N/A</v>
      </c>
    </row>
    <row r="106" spans="1:11" ht="18" customHeight="1" x14ac:dyDescent="0.25">
      <c r="A106" s="5">
        <v>41121</v>
      </c>
      <c r="B106" s="79">
        <f>84</f>
        <v>84</v>
      </c>
      <c r="C106" s="80">
        <v>69</v>
      </c>
      <c r="D106" s="14">
        <f>49.6</f>
        <v>49.6</v>
      </c>
      <c r="E106" s="14">
        <f>-8.7</f>
        <v>-8.6999999999999993</v>
      </c>
      <c r="F106" s="14">
        <f>-0.6</f>
        <v>-0.6</v>
      </c>
      <c r="G106" s="14">
        <f>1.5</f>
        <v>1.5</v>
      </c>
      <c r="H106" s="14">
        <f>6</f>
        <v>6</v>
      </c>
      <c r="I106" s="86">
        <f>3.1</f>
        <v>3.1</v>
      </c>
      <c r="J106" s="87">
        <f>data비교작업!S109*100</f>
        <v>2.9103608847497089</v>
      </c>
      <c r="K106" s="85" t="e">
        <v>#N/A</v>
      </c>
    </row>
    <row r="107" spans="1:11" ht="18" customHeight="1" x14ac:dyDescent="0.25">
      <c r="A107" s="5">
        <v>41090</v>
      </c>
      <c r="B107" s="79">
        <f>91</f>
        <v>91</v>
      </c>
      <c r="C107" s="80">
        <v>78</v>
      </c>
      <c r="D107" s="14">
        <f>49.5</f>
        <v>49.5</v>
      </c>
      <c r="E107" s="14">
        <f>0.9</f>
        <v>0.9</v>
      </c>
      <c r="F107" s="14">
        <f>0</f>
        <v>0</v>
      </c>
      <c r="G107" s="14">
        <f>2.2</f>
        <v>2.2000000000000002</v>
      </c>
      <c r="H107" s="14">
        <f>5.9</f>
        <v>5.9</v>
      </c>
      <c r="I107" s="86">
        <f>3</f>
        <v>3</v>
      </c>
      <c r="J107" s="87">
        <f>data비교작업!S110*100</f>
        <v>3.0338389731621871</v>
      </c>
      <c r="K107" s="85" t="e">
        <v>#N/A</v>
      </c>
    </row>
    <row r="108" spans="1:11" ht="18" customHeight="1" x14ac:dyDescent="0.25">
      <c r="A108" s="5">
        <v>41060</v>
      </c>
      <c r="B108" s="79">
        <f>93</f>
        <v>93</v>
      </c>
      <c r="C108" s="80">
        <v>82</v>
      </c>
      <c r="D108" s="14">
        <f>53.2</f>
        <v>53.2</v>
      </c>
      <c r="E108" s="14">
        <f>-1</f>
        <v>-1</v>
      </c>
      <c r="F108" s="14">
        <f>1</f>
        <v>1</v>
      </c>
      <c r="G108" s="14">
        <f>2.5</f>
        <v>2.5</v>
      </c>
      <c r="H108" s="14">
        <f>5.5</f>
        <v>5.5</v>
      </c>
      <c r="I108" s="86">
        <f>2.8</f>
        <v>2.8</v>
      </c>
      <c r="J108" s="87">
        <f>data비교작업!S111*100</f>
        <v>2.8037383177570163</v>
      </c>
      <c r="K108" s="85" t="e">
        <v>#N/A</v>
      </c>
    </row>
    <row r="109" spans="1:11" ht="18" customHeight="1" x14ac:dyDescent="0.25">
      <c r="A109" s="5">
        <v>41029</v>
      </c>
      <c r="B109" s="79">
        <f>92</f>
        <v>92</v>
      </c>
      <c r="C109" s="80">
        <v>82</v>
      </c>
      <c r="D109" s="14">
        <f>55.2</f>
        <v>55.2</v>
      </c>
      <c r="E109" s="14">
        <f>-5</f>
        <v>-5</v>
      </c>
      <c r="F109" s="14">
        <f>1.8</f>
        <v>1.8</v>
      </c>
      <c r="G109" s="14">
        <f>2.6</f>
        <v>2.6</v>
      </c>
      <c r="H109" s="14">
        <f>5.5</f>
        <v>5.5</v>
      </c>
      <c r="I109" s="86">
        <f>2.9</f>
        <v>2.9</v>
      </c>
      <c r="J109" s="87">
        <f>data비교작업!S112*100</f>
        <v>2.6900584795321607</v>
      </c>
      <c r="K109" s="85" t="e">
        <v>#N/A</v>
      </c>
    </row>
    <row r="110" spans="1:11" ht="18" customHeight="1" x14ac:dyDescent="0.25">
      <c r="A110" s="5">
        <v>40999</v>
      </c>
      <c r="B110" s="79">
        <f>92</f>
        <v>92</v>
      </c>
      <c r="C110" s="80">
        <v>81</v>
      </c>
      <c r="D110" s="14">
        <f>53.5</f>
        <v>53.5</v>
      </c>
      <c r="E110" s="14">
        <f>-1.5</f>
        <v>-1.5</v>
      </c>
      <c r="F110" s="14">
        <f>2.4</f>
        <v>2.4</v>
      </c>
      <c r="G110" s="14">
        <f>2.7</f>
        <v>2.7</v>
      </c>
      <c r="H110" s="14">
        <f>5.7</f>
        <v>5.7</v>
      </c>
      <c r="I110" s="86">
        <f>2.6</f>
        <v>2.6</v>
      </c>
      <c r="J110" s="87">
        <f>data비교작업!S113*100</f>
        <v>2.2196261682243059</v>
      </c>
      <c r="K110" s="85" t="e">
        <v>#N/A</v>
      </c>
    </row>
    <row r="111" spans="1:11" ht="18" customHeight="1" x14ac:dyDescent="0.25">
      <c r="A111" s="5">
        <v>40968</v>
      </c>
      <c r="B111" s="79">
        <f>89</f>
        <v>89</v>
      </c>
      <c r="C111" s="80">
        <v>79</v>
      </c>
      <c r="D111" s="14">
        <f>53.3</f>
        <v>53.3</v>
      </c>
      <c r="E111" s="14">
        <f>20.4</f>
        <v>20.399999999999999</v>
      </c>
      <c r="F111" s="14">
        <f>3.2</f>
        <v>3.2</v>
      </c>
      <c r="G111" s="14">
        <f>3</f>
        <v>3</v>
      </c>
      <c r="H111" s="14">
        <f>5.3</f>
        <v>5.3</v>
      </c>
      <c r="I111" s="86">
        <f>2.3</f>
        <v>2.2999999999999998</v>
      </c>
      <c r="J111" s="87">
        <f>data비교작업!S114*100</f>
        <v>1.8713450292397595</v>
      </c>
      <c r="K111" s="85" t="e">
        <v>#N/A</v>
      </c>
    </row>
    <row r="112" spans="1:11" ht="18" customHeight="1" x14ac:dyDescent="0.25">
      <c r="A112" s="5">
        <v>40939</v>
      </c>
      <c r="B112" s="79">
        <f>88</f>
        <v>88</v>
      </c>
      <c r="C112" s="80">
        <v>78</v>
      </c>
      <c r="D112" s="14">
        <f>54.2</f>
        <v>54.2</v>
      </c>
      <c r="E112" s="14">
        <f>-7.3</f>
        <v>-7.3</v>
      </c>
      <c r="F112" s="14">
        <f>3.2</f>
        <v>3.2</v>
      </c>
      <c r="G112" s="14">
        <f>3.3</f>
        <v>3.3</v>
      </c>
      <c r="H112" s="14">
        <f>4.8</f>
        <v>4.8</v>
      </c>
      <c r="I112" s="86">
        <f>1.8</f>
        <v>1.8</v>
      </c>
      <c r="J112" s="87">
        <f>data비교작업!S115*100</f>
        <v>1.762632197414806</v>
      </c>
      <c r="K112" s="85" t="e">
        <v>#N/A</v>
      </c>
    </row>
    <row r="113" spans="1:11" ht="18" customHeight="1" x14ac:dyDescent="0.25">
      <c r="A113" s="5">
        <v>40908</v>
      </c>
      <c r="B113" s="79">
        <f>91</f>
        <v>91</v>
      </c>
      <c r="C113" s="80">
        <v>81</v>
      </c>
      <c r="D113" s="14">
        <f>53</f>
        <v>53</v>
      </c>
      <c r="E113" s="14">
        <f>8.2</f>
        <v>8.1999999999999993</v>
      </c>
      <c r="F113" s="14">
        <f>4.3</f>
        <v>4.3</v>
      </c>
      <c r="G113" s="14">
        <f>4.2</f>
        <v>4.2</v>
      </c>
      <c r="H113" s="14">
        <f>4.4</f>
        <v>4.4000000000000004</v>
      </c>
      <c r="I113" s="86">
        <f>1.6</f>
        <v>1.6</v>
      </c>
      <c r="J113" s="87">
        <f>data비교작업!S116*100</f>
        <v>2.0118343195266308</v>
      </c>
      <c r="K113" s="85" t="e">
        <v>#N/A</v>
      </c>
    </row>
    <row r="114" spans="1:11" ht="18" customHeight="1" x14ac:dyDescent="0.25">
      <c r="A114" s="5">
        <v>40877</v>
      </c>
      <c r="B114" s="79">
        <f>93</f>
        <v>93</v>
      </c>
      <c r="C114" s="80">
        <v>80</v>
      </c>
      <c r="D114" s="14">
        <f>51.8</f>
        <v>51.8</v>
      </c>
      <c r="E114" s="14">
        <f>11.5</f>
        <v>11.5</v>
      </c>
      <c r="F114" s="14">
        <f>5.1</f>
        <v>5.0999999999999996</v>
      </c>
      <c r="G114" s="14">
        <f>4.2</f>
        <v>4.2</v>
      </c>
      <c r="H114" s="14">
        <f>4.4</f>
        <v>4.4000000000000004</v>
      </c>
      <c r="I114" s="86">
        <f>1.5</f>
        <v>1.5</v>
      </c>
      <c r="J114" s="87">
        <f>data비교작업!S117*100</f>
        <v>2.0166073546856502</v>
      </c>
      <c r="K114" s="85" t="e">
        <v>#N/A</v>
      </c>
    </row>
    <row r="115" spans="1:11" ht="18" customHeight="1" x14ac:dyDescent="0.25">
      <c r="A115" s="5">
        <v>40847</v>
      </c>
      <c r="B115" s="79">
        <f>95</f>
        <v>95</v>
      </c>
      <c r="C115" s="80">
        <v>82</v>
      </c>
      <c r="D115" s="14">
        <f>51.4</f>
        <v>51.4</v>
      </c>
      <c r="E115" s="14">
        <f>7.6</f>
        <v>7.6</v>
      </c>
      <c r="F115" s="14">
        <f>5.8</f>
        <v>5.8</v>
      </c>
      <c r="G115" s="14">
        <f>3.6</f>
        <v>3.6</v>
      </c>
      <c r="H115" s="14">
        <f>4.4</f>
        <v>4.4000000000000004</v>
      </c>
      <c r="I115" s="86">
        <f>1.6</f>
        <v>1.6</v>
      </c>
      <c r="J115" s="87">
        <f>data비교작업!S118*100</f>
        <v>2.0190023752969153</v>
      </c>
      <c r="K115" s="85" t="e">
        <v>#N/A</v>
      </c>
    </row>
    <row r="116" spans="1:11" ht="18" customHeight="1" x14ac:dyDescent="0.25">
      <c r="A116" s="5">
        <v>40816</v>
      </c>
      <c r="B116" s="79">
        <f>94</f>
        <v>94</v>
      </c>
      <c r="C116" s="80">
        <v>82</v>
      </c>
      <c r="D116" s="14">
        <f>53.7</f>
        <v>53.7</v>
      </c>
      <c r="E116" s="14">
        <f>18</f>
        <v>18</v>
      </c>
      <c r="F116" s="14">
        <f>6.3</f>
        <v>6.3</v>
      </c>
      <c r="G116" s="14">
        <f>3.8</f>
        <v>3.8</v>
      </c>
      <c r="H116" s="14">
        <f>4.2</f>
        <v>4.2</v>
      </c>
      <c r="I116" s="86">
        <f>1.8</f>
        <v>1.8</v>
      </c>
      <c r="J116" s="87">
        <f>data비교작업!S119*100</f>
        <v>1.8979833926453245</v>
      </c>
      <c r="K116" s="85" t="e">
        <v>#N/A</v>
      </c>
    </row>
    <row r="117" spans="1:11" ht="18" customHeight="1" x14ac:dyDescent="0.25">
      <c r="A117" s="5">
        <v>40786</v>
      </c>
      <c r="B117" s="79">
        <f>92</f>
        <v>92</v>
      </c>
      <c r="C117" s="80">
        <v>81</v>
      </c>
      <c r="D117" s="14">
        <f>52.6</f>
        <v>52.6</v>
      </c>
      <c r="E117" s="14">
        <f>25.5</f>
        <v>25.5</v>
      </c>
      <c r="F117" s="14">
        <f>6.9</f>
        <v>6.9</v>
      </c>
      <c r="G117" s="14">
        <f>4.7</f>
        <v>4.7</v>
      </c>
      <c r="H117" s="14">
        <f>4</f>
        <v>4</v>
      </c>
      <c r="I117" s="86">
        <f>2.1</f>
        <v>2.1</v>
      </c>
      <c r="J117" s="87">
        <f>data비교작업!S120*100</f>
        <v>2.0190023752969153</v>
      </c>
      <c r="K117" s="85" t="e">
        <v>#N/A</v>
      </c>
    </row>
    <row r="118" spans="1:11" ht="18" customHeight="1" x14ac:dyDescent="0.25">
      <c r="A118" s="5">
        <v>40755</v>
      </c>
      <c r="B118" s="79">
        <f>98</f>
        <v>98</v>
      </c>
      <c r="C118" s="80">
        <v>87</v>
      </c>
      <c r="D118" s="14">
        <f>52.9</f>
        <v>52.9</v>
      </c>
      <c r="E118" s="14">
        <f>21.1</f>
        <v>21.1</v>
      </c>
      <c r="F118" s="14">
        <f>7</f>
        <v>7</v>
      </c>
      <c r="G118" s="14">
        <f>4.5</f>
        <v>4.5</v>
      </c>
      <c r="H118" s="14">
        <f>3.2</f>
        <v>3.2</v>
      </c>
      <c r="I118" s="86">
        <f>2.4</f>
        <v>2.4</v>
      </c>
      <c r="J118" s="87">
        <f>data비교작업!S121*100</f>
        <v>2.261904761904769</v>
      </c>
      <c r="K118" s="85" t="e">
        <v>#N/A</v>
      </c>
    </row>
    <row r="119" spans="1:11" ht="18" customHeight="1" x14ac:dyDescent="0.25">
      <c r="A119" s="5">
        <v>40724</v>
      </c>
      <c r="B119" s="79">
        <f>102</f>
        <v>102</v>
      </c>
      <c r="C119" s="80">
        <v>88</v>
      </c>
      <c r="D119" s="14">
        <f>55.8</f>
        <v>55.8</v>
      </c>
      <c r="E119" s="14">
        <f>11.1</f>
        <v>11.1</v>
      </c>
      <c r="F119" s="14">
        <f>7.2</f>
        <v>7.2</v>
      </c>
      <c r="G119" s="14">
        <f>4.2</f>
        <v>4.2</v>
      </c>
      <c r="H119" s="14">
        <f>3</f>
        <v>3</v>
      </c>
      <c r="I119" s="86">
        <f>2.4</f>
        <v>2.4</v>
      </c>
      <c r="J119" s="87">
        <f>data비교작업!S122*100</f>
        <v>2.3894862604540021</v>
      </c>
      <c r="K119" s="85" t="e">
        <v>#N/A</v>
      </c>
    </row>
    <row r="120" spans="1:11" ht="18" customHeight="1" x14ac:dyDescent="0.25">
      <c r="A120" s="5">
        <v>40694</v>
      </c>
      <c r="B120" s="79">
        <f>101</f>
        <v>101</v>
      </c>
      <c r="C120" s="80">
        <v>90</v>
      </c>
      <c r="D120" s="14">
        <f>54.8</f>
        <v>54.8</v>
      </c>
      <c r="E120" s="14">
        <f>21.7</f>
        <v>21.7</v>
      </c>
      <c r="F120" s="14">
        <f>7.5</f>
        <v>7.5</v>
      </c>
      <c r="G120" s="14">
        <f>3.9</f>
        <v>3.9</v>
      </c>
      <c r="H120" s="14">
        <f>3.7</f>
        <v>3.7</v>
      </c>
      <c r="I120" s="86">
        <f>2.4</f>
        <v>2.4</v>
      </c>
      <c r="J120" s="87">
        <f>data비교작업!S123*100</f>
        <v>2.5149700598802327</v>
      </c>
      <c r="K120" s="85" t="e">
        <v>#N/A</v>
      </c>
    </row>
    <row r="121" spans="1:11" ht="18" customHeight="1" x14ac:dyDescent="0.25">
      <c r="A121" s="5">
        <v>40663</v>
      </c>
      <c r="B121" s="79">
        <f>103</f>
        <v>103</v>
      </c>
      <c r="C121" s="80">
        <v>92</v>
      </c>
      <c r="D121" s="14">
        <f>57.9</f>
        <v>57.9</v>
      </c>
      <c r="E121" s="14">
        <f>23.5</f>
        <v>23.5</v>
      </c>
      <c r="F121" s="14">
        <f>8.1</f>
        <v>8.1</v>
      </c>
      <c r="G121" s="14">
        <f>3.8</f>
        <v>3.8</v>
      </c>
      <c r="H121" s="14">
        <f>3.9</f>
        <v>3.9</v>
      </c>
      <c r="I121" s="86">
        <f>2.5</f>
        <v>2.5</v>
      </c>
      <c r="J121" s="87">
        <f>data비교작업!S124*100</f>
        <v>2.6410564225690312</v>
      </c>
      <c r="K121" s="85" t="e">
        <v>#N/A</v>
      </c>
    </row>
    <row r="122" spans="1:11" ht="18" customHeight="1" x14ac:dyDescent="0.25">
      <c r="A122" s="5">
        <v>40633</v>
      </c>
      <c r="B122" s="79">
        <f>97</f>
        <v>97</v>
      </c>
      <c r="C122" s="80">
        <v>87</v>
      </c>
      <c r="D122" s="14">
        <f>58.4</f>
        <v>58.4</v>
      </c>
      <c r="E122" s="14">
        <f>28.8</f>
        <v>28.8</v>
      </c>
      <c r="F122" s="14">
        <f>8.2</f>
        <v>8.1999999999999993</v>
      </c>
      <c r="G122" s="14">
        <f>4.1</f>
        <v>4.0999999999999996</v>
      </c>
      <c r="H122" s="14">
        <f>5</f>
        <v>5</v>
      </c>
      <c r="I122" s="86">
        <f>2.9</f>
        <v>2.9</v>
      </c>
      <c r="J122" s="87">
        <f>data비교작업!S125*100</f>
        <v>2.8846153846153744</v>
      </c>
      <c r="K122" s="85" t="e">
        <v>#N/A</v>
      </c>
    </row>
    <row r="123" spans="1:11" ht="18" customHeight="1" x14ac:dyDescent="0.25">
      <c r="A123" s="5">
        <v>40602</v>
      </c>
      <c r="B123" s="79">
        <f>95</f>
        <v>95</v>
      </c>
      <c r="C123" s="80">
        <v>84</v>
      </c>
      <c r="D123" s="14">
        <f>59.2</f>
        <v>59.2</v>
      </c>
      <c r="E123" s="14">
        <f>16.4</f>
        <v>16.399999999999999</v>
      </c>
      <c r="F123" s="14">
        <f>7.4</f>
        <v>7.4</v>
      </c>
      <c r="G123" s="14">
        <f>3.9</f>
        <v>3.9</v>
      </c>
      <c r="H123" s="14">
        <f>5</f>
        <v>5</v>
      </c>
      <c r="I123" s="86">
        <f>3.2</f>
        <v>3.2</v>
      </c>
      <c r="J123" s="87">
        <f>data비교작업!S126*100</f>
        <v>3.0120481927710845</v>
      </c>
      <c r="K123" s="85" t="e">
        <v>#N/A</v>
      </c>
    </row>
    <row r="124" spans="1:11" ht="18" customHeight="1" x14ac:dyDescent="0.25">
      <c r="A124" s="5">
        <v>40574</v>
      </c>
      <c r="B124" s="79">
        <f>99</f>
        <v>99</v>
      </c>
      <c r="C124" s="80">
        <v>87</v>
      </c>
      <c r="D124" s="14">
        <f>59.1</f>
        <v>59.1</v>
      </c>
      <c r="E124" s="14">
        <f>44.7</f>
        <v>44.7</v>
      </c>
      <c r="F124" s="14">
        <f>6.8</f>
        <v>6.8</v>
      </c>
      <c r="G124" s="14">
        <f>3.4</f>
        <v>3.4</v>
      </c>
      <c r="H124" s="14">
        <f>6.5</f>
        <v>6.5</v>
      </c>
      <c r="I124" s="86">
        <f>3.2</f>
        <v>3.2</v>
      </c>
      <c r="J124" s="87">
        <f>data비교작업!S127*100</f>
        <v>2.6537997587454627</v>
      </c>
      <c r="K124" s="85" t="e">
        <v>#N/A</v>
      </c>
    </row>
    <row r="125" spans="1:11" ht="18" customHeight="1" x14ac:dyDescent="0.25">
      <c r="A125" s="5">
        <v>40543</v>
      </c>
      <c r="B125" s="79">
        <f>100</f>
        <v>100</v>
      </c>
      <c r="C125" s="80">
        <v>90</v>
      </c>
      <c r="D125" s="14">
        <f>56.6</f>
        <v>56.6</v>
      </c>
      <c r="E125" s="14">
        <f>22.6</f>
        <v>22.6</v>
      </c>
      <c r="F125" s="14">
        <f>4.7</f>
        <v>4.7</v>
      </c>
      <c r="G125" s="14">
        <f>3</f>
        <v>3</v>
      </c>
      <c r="H125" s="14">
        <f>7.2</f>
        <v>7.2</v>
      </c>
      <c r="I125" s="86">
        <f>2.9</f>
        <v>2.9</v>
      </c>
      <c r="J125" s="87">
        <f>data비교작업!S128*100</f>
        <v>2.3002421307506125</v>
      </c>
      <c r="K125" s="85" t="e">
        <v>#N/A</v>
      </c>
    </row>
    <row r="126" spans="1:11" ht="18" customHeight="1" x14ac:dyDescent="0.25">
      <c r="A126" s="5">
        <v>40512</v>
      </c>
      <c r="B126" s="79">
        <f>101</f>
        <v>101</v>
      </c>
      <c r="C126" s="80">
        <v>90</v>
      </c>
      <c r="D126" s="14">
        <f>57.3</f>
        <v>57.3</v>
      </c>
      <c r="E126" s="14">
        <f>21.4</f>
        <v>21.4</v>
      </c>
      <c r="F126" s="14">
        <f>4.2</f>
        <v>4.2</v>
      </c>
      <c r="G126" s="14">
        <f>3</f>
        <v>3</v>
      </c>
      <c r="H126" s="14">
        <f>7.4</f>
        <v>7.4</v>
      </c>
      <c r="I126" s="86">
        <f>3</f>
        <v>3</v>
      </c>
      <c r="J126" s="87">
        <f>data비교작업!S129*100</f>
        <v>2.5547445255474384</v>
      </c>
      <c r="K126" s="85" t="e">
        <v>#N/A</v>
      </c>
    </row>
    <row r="127" spans="1:11" ht="18" customHeight="1" x14ac:dyDescent="0.25">
      <c r="A127" s="5">
        <v>40482</v>
      </c>
      <c r="B127" s="79">
        <f>101</f>
        <v>101</v>
      </c>
      <c r="C127" s="80">
        <v>89</v>
      </c>
      <c r="D127" s="14">
        <f>56.9</f>
        <v>56.9</v>
      </c>
      <c r="E127" s="14">
        <f>27.6</f>
        <v>27.6</v>
      </c>
      <c r="F127" s="14">
        <f>4.2</f>
        <v>4.2</v>
      </c>
      <c r="G127" s="14">
        <f>3.7</f>
        <v>3.7</v>
      </c>
      <c r="H127" s="14">
        <f>7.6</f>
        <v>7.6</v>
      </c>
      <c r="I127" s="86">
        <f>3.4</f>
        <v>3.4</v>
      </c>
      <c r="J127" s="87">
        <f>data비교작업!S130*100</f>
        <v>3.3128834355828261</v>
      </c>
      <c r="K127" s="85" t="e">
        <v>#N/A</v>
      </c>
    </row>
    <row r="128" spans="1:11" ht="18" customHeight="1" x14ac:dyDescent="0.25">
      <c r="A128" s="5">
        <v>40451</v>
      </c>
      <c r="B128" s="79">
        <f>99</f>
        <v>99</v>
      </c>
      <c r="C128" s="80">
        <v>88</v>
      </c>
      <c r="D128" s="14">
        <f>55.3</f>
        <v>55.3</v>
      </c>
      <c r="E128" s="14">
        <f>16.2</f>
        <v>16.2</v>
      </c>
      <c r="F128" s="14">
        <f>3</f>
        <v>3</v>
      </c>
      <c r="G128" s="14">
        <f>3.4</f>
        <v>3.4</v>
      </c>
      <c r="H128" s="14">
        <f>8.1</f>
        <v>8.1</v>
      </c>
      <c r="I128" s="86">
        <f>4.2</f>
        <v>4.2</v>
      </c>
      <c r="J128" s="87">
        <f>data비교작업!S131*100</f>
        <v>4.3316831683168324</v>
      </c>
      <c r="K128" s="85" t="e">
        <v>#N/A</v>
      </c>
    </row>
    <row r="129" spans="1:11" ht="18" customHeight="1" x14ac:dyDescent="0.25">
      <c r="A129" s="5">
        <v>40421</v>
      </c>
      <c r="B129" s="79">
        <f>102</f>
        <v>102</v>
      </c>
      <c r="C129" s="80">
        <v>88</v>
      </c>
      <c r="D129" s="14">
        <f>56.4</f>
        <v>56.4</v>
      </c>
      <c r="E129" s="14">
        <f>26</f>
        <v>26</v>
      </c>
      <c r="F129" s="14">
        <f>2.5</f>
        <v>2.5</v>
      </c>
      <c r="G129" s="14">
        <f>2.7</f>
        <v>2.7</v>
      </c>
      <c r="H129" s="14">
        <f>8.5</f>
        <v>8.5</v>
      </c>
      <c r="I129" s="86">
        <f>4.8</f>
        <v>4.8</v>
      </c>
      <c r="J129" s="87">
        <f>data비교작업!S132*100</f>
        <v>4.8567870485678775</v>
      </c>
      <c r="K129" s="85" t="e">
        <v>#N/A</v>
      </c>
    </row>
    <row r="130" spans="1:11" ht="18" customHeight="1" x14ac:dyDescent="0.25">
      <c r="A130" s="5">
        <v>40390</v>
      </c>
      <c r="B130" s="79">
        <f>107</f>
        <v>107</v>
      </c>
      <c r="C130" s="80">
        <v>93</v>
      </c>
      <c r="D130" s="14">
        <f>56.1</f>
        <v>56.1</v>
      </c>
      <c r="E130" s="14">
        <f>26.7</f>
        <v>26.7</v>
      </c>
      <c r="F130" s="14">
        <f>2.8</f>
        <v>2.8</v>
      </c>
      <c r="G130" s="14">
        <f>2.5</f>
        <v>2.5</v>
      </c>
      <c r="H130" s="14">
        <f>9.3</f>
        <v>9.3000000000000007</v>
      </c>
      <c r="I130" s="86">
        <f>5.3</f>
        <v>5.3</v>
      </c>
      <c r="J130" s="87">
        <f>data비교작업!S133*100</f>
        <v>5.263157894736846</v>
      </c>
      <c r="K130" s="85" t="e">
        <v>#N/A</v>
      </c>
    </row>
    <row r="131" spans="1:11" ht="18" customHeight="1" x14ac:dyDescent="0.25">
      <c r="A131" s="5">
        <v>40359</v>
      </c>
      <c r="B131" s="79">
        <f>104</f>
        <v>104</v>
      </c>
      <c r="C131" s="80">
        <v>94</v>
      </c>
      <c r="D131" s="14">
        <f>56.5</f>
        <v>56.5</v>
      </c>
      <c r="E131" s="14">
        <f>30.5</f>
        <v>30.5</v>
      </c>
      <c r="F131" s="14">
        <f>3.7</f>
        <v>3.7</v>
      </c>
      <c r="G131" s="14">
        <f>2.7</f>
        <v>2.7</v>
      </c>
      <c r="H131" s="14">
        <f>9.7</f>
        <v>9.6999999999999993</v>
      </c>
      <c r="I131" s="86">
        <f>5.7</f>
        <v>5.7</v>
      </c>
      <c r="J131" s="87">
        <f>data비교작업!S134*100</f>
        <v>5.415617128463472</v>
      </c>
      <c r="K131" s="85" t="e">
        <v>#N/A</v>
      </c>
    </row>
    <row r="132" spans="1:11" ht="18" customHeight="1" x14ac:dyDescent="0.25">
      <c r="A132" s="5">
        <v>40329</v>
      </c>
      <c r="B132" s="79">
        <f>107</f>
        <v>107</v>
      </c>
      <c r="C132" s="80">
        <v>95</v>
      </c>
      <c r="D132" s="14">
        <f>57.4</f>
        <v>57.4</v>
      </c>
      <c r="E132" s="14">
        <f>39.8</f>
        <v>39.799999999999997</v>
      </c>
      <c r="F132" s="14">
        <f>3.3</f>
        <v>3.3</v>
      </c>
      <c r="G132" s="14">
        <f>2.7</f>
        <v>2.7</v>
      </c>
      <c r="H132" s="14">
        <f>9.3</f>
        <v>9.3000000000000007</v>
      </c>
      <c r="I132" s="86">
        <f>6.2</f>
        <v>6.2</v>
      </c>
      <c r="J132" s="87">
        <f>data비교작업!S135*100</f>
        <v>6.5051020408163183</v>
      </c>
      <c r="K132" s="85" t="e">
        <v>#N/A</v>
      </c>
    </row>
    <row r="133" spans="1:11" ht="18" customHeight="1" x14ac:dyDescent="0.25">
      <c r="A133" s="5">
        <v>40298</v>
      </c>
      <c r="B133" s="79">
        <f>107</f>
        <v>107</v>
      </c>
      <c r="C133" s="80">
        <v>94</v>
      </c>
      <c r="D133" s="14">
        <f>58.1</f>
        <v>58.1</v>
      </c>
      <c r="E133" s="14">
        <f>29.6</f>
        <v>29.6</v>
      </c>
      <c r="F133" s="14">
        <f>1.7</f>
        <v>1.7</v>
      </c>
      <c r="G133" s="14">
        <f>2.6</f>
        <v>2.6</v>
      </c>
      <c r="H133" s="14">
        <f>9.4</f>
        <v>9.4</v>
      </c>
      <c r="I133" s="86">
        <f>6.6</f>
        <v>6.6</v>
      </c>
      <c r="J133" s="87">
        <f>data비교작업!S136*100</f>
        <v>7.2072072072072002</v>
      </c>
      <c r="K133" s="85" t="e">
        <v>#N/A</v>
      </c>
    </row>
    <row r="134" spans="1:11" ht="18" customHeight="1" x14ac:dyDescent="0.25">
      <c r="A134" s="5">
        <v>40268</v>
      </c>
      <c r="B134" s="79">
        <f>102</f>
        <v>102</v>
      </c>
      <c r="C134" s="80">
        <v>89</v>
      </c>
      <c r="D134" s="14">
        <f>58.8</f>
        <v>58.8</v>
      </c>
      <c r="E134" s="14">
        <f>33.8</f>
        <v>33.799999999999997</v>
      </c>
      <c r="F134" s="14">
        <f>1.1</f>
        <v>1.1000000000000001</v>
      </c>
      <c r="G134" s="14">
        <f>2.5</f>
        <v>2.5</v>
      </c>
      <c r="H134" s="14">
        <f>9.4</f>
        <v>9.4</v>
      </c>
      <c r="I134" s="86">
        <f>7.1</f>
        <v>7.1</v>
      </c>
      <c r="J134" s="87">
        <f>data비교작업!S137*100</f>
        <v>8.6161879895561473</v>
      </c>
      <c r="K134" s="85" t="e">
        <v>#N/A</v>
      </c>
    </row>
    <row r="135" spans="1:11" ht="18" customHeight="1" x14ac:dyDescent="0.25">
      <c r="A135" s="5">
        <v>40237</v>
      </c>
      <c r="B135" s="79">
        <f>101</f>
        <v>101</v>
      </c>
      <c r="C135" s="80">
        <v>89</v>
      </c>
      <c r="D135" s="14">
        <f>55.5</f>
        <v>55.5</v>
      </c>
      <c r="E135" s="14">
        <f>30.1</f>
        <v>30.1</v>
      </c>
      <c r="F135" s="14">
        <f>1.1</f>
        <v>1.1000000000000001</v>
      </c>
      <c r="G135" s="14">
        <f>3</f>
        <v>3</v>
      </c>
      <c r="H135" s="14">
        <f>9.4</f>
        <v>9.4</v>
      </c>
      <c r="I135" s="86">
        <f>7.5</f>
        <v>7.5</v>
      </c>
      <c r="J135" s="87">
        <f>data비교작업!S138*100</f>
        <v>9.0670170827858172</v>
      </c>
      <c r="K135" s="85" t="e">
        <v>#N/A</v>
      </c>
    </row>
    <row r="136" spans="1:11" ht="18" customHeight="1" x14ac:dyDescent="0.25">
      <c r="A136" s="5">
        <v>40209</v>
      </c>
      <c r="B136" s="79">
        <f>100</f>
        <v>100</v>
      </c>
      <c r="C136" s="80">
        <v>89</v>
      </c>
      <c r="D136" s="14">
        <f>56.3</f>
        <v>56.3</v>
      </c>
      <c r="E136" s="14">
        <f>45.4</f>
        <v>45.4</v>
      </c>
      <c r="F136" s="14">
        <f>1.6</f>
        <v>1.6</v>
      </c>
      <c r="G136" s="14">
        <f>3.5</f>
        <v>3.5</v>
      </c>
      <c r="H136" s="14">
        <f>9.3</f>
        <v>9.3000000000000007</v>
      </c>
      <c r="I136" s="86">
        <f>7.9</f>
        <v>7.9</v>
      </c>
      <c r="J136" s="87">
        <f>data비교작업!S139*100</f>
        <v>9.5112285336856051</v>
      </c>
      <c r="K136" s="85" t="e">
        <v>#N/A</v>
      </c>
    </row>
    <row r="137" spans="1:11" ht="18" customHeight="1" x14ac:dyDescent="0.25">
      <c r="A137" s="5">
        <v>40178</v>
      </c>
      <c r="B137" s="79">
        <f>100</f>
        <v>100</v>
      </c>
      <c r="C137" s="80">
        <v>89</v>
      </c>
      <c r="D137" s="14">
        <f>55.8</f>
        <v>55.8</v>
      </c>
      <c r="E137" s="14">
        <f>32.8</f>
        <v>32.799999999999997</v>
      </c>
      <c r="F137" s="14">
        <f>1.8</f>
        <v>1.8</v>
      </c>
      <c r="G137" s="14">
        <f>2.8</f>
        <v>2.8</v>
      </c>
      <c r="H137" s="14">
        <f>9.3</f>
        <v>9.3000000000000007</v>
      </c>
      <c r="I137" s="86">
        <f>8</f>
        <v>8</v>
      </c>
      <c r="J137" s="87">
        <f>data비교작업!S140*100</f>
        <v>9.1149273447820232</v>
      </c>
      <c r="K137" s="85" t="e">
        <v>#N/A</v>
      </c>
    </row>
    <row r="138" spans="1:11" ht="18" customHeight="1" x14ac:dyDescent="0.25">
      <c r="A138" s="5">
        <v>40147</v>
      </c>
      <c r="B138" s="79">
        <f>95</f>
        <v>95</v>
      </c>
      <c r="C138" s="80">
        <v>85</v>
      </c>
      <c r="D138" s="14">
        <f>55.4</f>
        <v>55.4</v>
      </c>
      <c r="E138" s="14">
        <f>17.9</f>
        <v>17.899999999999999</v>
      </c>
      <c r="F138" s="14">
        <f>-0.4</f>
        <v>-0.4</v>
      </c>
      <c r="G138" s="14">
        <f>2.4</f>
        <v>2.4</v>
      </c>
      <c r="H138" s="14">
        <f>9.7</f>
        <v>9.6999999999999993</v>
      </c>
      <c r="I138" s="86">
        <f>7.9</f>
        <v>7.9</v>
      </c>
      <c r="J138" s="87">
        <f>data비교작업!S141*100</f>
        <v>8.4432717678100353</v>
      </c>
      <c r="K138" s="85" t="e">
        <v>#N/A</v>
      </c>
    </row>
    <row r="139" spans="1:11" ht="18" customHeight="1" x14ac:dyDescent="0.25">
      <c r="A139" s="5">
        <v>40117</v>
      </c>
      <c r="B139" s="79">
        <f>96</f>
        <v>96</v>
      </c>
      <c r="C139" s="80">
        <v>88</v>
      </c>
      <c r="D139" s="14">
        <f>57.6</f>
        <v>57.6</v>
      </c>
      <c r="E139" s="14">
        <f>-8.5</f>
        <v>-8.5</v>
      </c>
      <c r="F139" s="14">
        <f>-3.1</f>
        <v>-3.1</v>
      </c>
      <c r="G139" s="14">
        <f>2</f>
        <v>2</v>
      </c>
      <c r="H139" s="14">
        <f>10.5</f>
        <v>10.5</v>
      </c>
      <c r="I139" s="86">
        <f>7.2</f>
        <v>7.2</v>
      </c>
      <c r="J139" s="87">
        <f>data비교작업!S142*100</f>
        <v>7.2368421052631584</v>
      </c>
      <c r="K139" s="85" t="e">
        <v>#N/A</v>
      </c>
    </row>
    <row r="140" spans="1:11" ht="18" customHeight="1" x14ac:dyDescent="0.25">
      <c r="A140" s="5">
        <v>40086</v>
      </c>
      <c r="B140" s="79">
        <f>92</f>
        <v>92</v>
      </c>
      <c r="C140" s="80">
        <v>84</v>
      </c>
      <c r="D140" s="14">
        <f>54.9</f>
        <v>54.9</v>
      </c>
      <c r="E140" s="14">
        <f>-9.4</f>
        <v>-9.4</v>
      </c>
      <c r="F140" s="14">
        <f>-2.5</f>
        <v>-2.5</v>
      </c>
      <c r="G140" s="14">
        <f>2.2</f>
        <v>2.2000000000000002</v>
      </c>
      <c r="H140" s="14">
        <f>10</f>
        <v>10</v>
      </c>
      <c r="I140" s="86">
        <f>6.5</f>
        <v>6.5</v>
      </c>
      <c r="J140" s="87">
        <f>data비교작업!S143*100</f>
        <v>6.3157894736842062</v>
      </c>
      <c r="K140" s="85" t="e">
        <v>#N/A</v>
      </c>
    </row>
    <row r="141" spans="1:11" ht="18" customHeight="1" x14ac:dyDescent="0.25">
      <c r="A141" s="5">
        <v>40056</v>
      </c>
      <c r="B141" s="79">
        <f>87</f>
        <v>87</v>
      </c>
      <c r="C141" s="80">
        <v>81</v>
      </c>
      <c r="D141" s="14">
        <f>53.4</f>
        <v>53.4</v>
      </c>
      <c r="E141" s="14">
        <f>-20.9</f>
        <v>-20.9</v>
      </c>
      <c r="F141" s="14">
        <f>-3</f>
        <v>-3</v>
      </c>
      <c r="G141" s="14">
        <f>2.2</f>
        <v>2.2000000000000002</v>
      </c>
      <c r="H141" s="14">
        <f>10</f>
        <v>10</v>
      </c>
      <c r="I141" s="86">
        <f>6</f>
        <v>6</v>
      </c>
      <c r="J141" s="87">
        <f>data비교작업!S144*100</f>
        <v>5.9366754617414248</v>
      </c>
      <c r="K141" s="85" t="e">
        <v>#N/A</v>
      </c>
    </row>
    <row r="142" spans="1:11" ht="18" customHeight="1" x14ac:dyDescent="0.25">
      <c r="A142" s="5">
        <v>40025</v>
      </c>
      <c r="B142" s="79">
        <f>84</f>
        <v>84</v>
      </c>
      <c r="C142" s="80">
        <v>78</v>
      </c>
      <c r="D142" s="14">
        <f>49.7</f>
        <v>49.7</v>
      </c>
      <c r="E142" s="14">
        <f>-22.1</f>
        <v>-22.1</v>
      </c>
      <c r="F142" s="14">
        <f>-3.9</f>
        <v>-3.9</v>
      </c>
      <c r="G142" s="14">
        <f>1.6</f>
        <v>1.6</v>
      </c>
      <c r="H142" s="14">
        <f>9.7</f>
        <v>9.6999999999999993</v>
      </c>
      <c r="I142" s="86">
        <f>5.4</f>
        <v>5.4</v>
      </c>
      <c r="J142" s="87">
        <f>data비교작업!S145*100</f>
        <v>5.5555555555555598</v>
      </c>
      <c r="K142" s="85" t="e">
        <v>#N/A</v>
      </c>
    </row>
    <row r="143" spans="1:11" ht="18" customHeight="1" x14ac:dyDescent="0.25">
      <c r="A143" s="5">
        <v>39994</v>
      </c>
      <c r="B143" s="79">
        <f>85</f>
        <v>85</v>
      </c>
      <c r="C143" s="80">
        <v>77</v>
      </c>
      <c r="D143" s="14">
        <f>46.3</f>
        <v>46.3</v>
      </c>
      <c r="E143" s="14">
        <f>-13.6</f>
        <v>-13.6</v>
      </c>
      <c r="F143" s="14">
        <f>-3.1</f>
        <v>-3.1</v>
      </c>
      <c r="G143" s="14">
        <f>2</f>
        <v>2</v>
      </c>
      <c r="H143" s="14">
        <f>9.6</f>
        <v>9.6</v>
      </c>
      <c r="I143" s="86">
        <f>4.8</f>
        <v>4.8</v>
      </c>
      <c r="J143" s="87">
        <f>data비교작업!S146*100</f>
        <v>5.0264550264550421</v>
      </c>
      <c r="K143" s="85" t="e">
        <v>#N/A</v>
      </c>
    </row>
    <row r="144" spans="1:11" ht="18" customHeight="1" x14ac:dyDescent="0.25">
      <c r="A144" s="5">
        <v>39964</v>
      </c>
      <c r="B144" s="79">
        <f>83</f>
        <v>83</v>
      </c>
      <c r="C144" s="80">
        <v>74</v>
      </c>
      <c r="D144" s="14">
        <f>44.1</f>
        <v>44.1</v>
      </c>
      <c r="E144" s="14">
        <f>-29.4</f>
        <v>-29.4</v>
      </c>
      <c r="F144" s="14">
        <f>-1.3</f>
        <v>-1.3</v>
      </c>
      <c r="G144" s="14">
        <f>2.7</f>
        <v>2.7</v>
      </c>
      <c r="H144" s="14">
        <f>9.9</f>
        <v>9.9</v>
      </c>
      <c r="I144" s="86">
        <f>3.6</f>
        <v>3.6</v>
      </c>
      <c r="J144" s="87">
        <f>data비교작업!S147*100</f>
        <v>3.5667107001321039</v>
      </c>
      <c r="K144" s="85" t="e">
        <v>#N/A</v>
      </c>
    </row>
    <row r="145" spans="1:11" ht="18" customHeight="1" x14ac:dyDescent="0.25">
      <c r="A145" s="5">
        <v>39933</v>
      </c>
      <c r="B145" s="79">
        <f>79</f>
        <v>79</v>
      </c>
      <c r="C145" s="80">
        <v>69</v>
      </c>
      <c r="D145" s="14">
        <f>39.9</f>
        <v>39.9</v>
      </c>
      <c r="E145" s="14">
        <f>-19.9</f>
        <v>-19.899999999999999</v>
      </c>
      <c r="F145" s="14">
        <f>1.5</f>
        <v>1.5</v>
      </c>
      <c r="G145" s="14">
        <f>3.6</f>
        <v>3.6</v>
      </c>
      <c r="H145" s="14">
        <f>10.6</f>
        <v>10.6</v>
      </c>
      <c r="I145" s="86">
        <f>2.6</f>
        <v>2.6</v>
      </c>
      <c r="J145" s="87">
        <f>data비교작업!S148*100</f>
        <v>2.7777777777777892</v>
      </c>
      <c r="K145" s="85" t="e">
        <v>#N/A</v>
      </c>
    </row>
    <row r="146" spans="1:11" ht="18" customHeight="1" x14ac:dyDescent="0.25">
      <c r="A146" s="5">
        <v>39903</v>
      </c>
      <c r="B146" s="79">
        <f>69</f>
        <v>69</v>
      </c>
      <c r="C146" s="80">
        <v>58</v>
      </c>
      <c r="D146" s="14">
        <f>37.2</f>
        <v>37.200000000000003</v>
      </c>
      <c r="E146" s="14">
        <f>-22.5</f>
        <v>-22.5</v>
      </c>
      <c r="F146" s="14">
        <f>3.5</f>
        <v>3.5</v>
      </c>
      <c r="G146" s="14">
        <f>3.9</f>
        <v>3.9</v>
      </c>
      <c r="H146" s="14">
        <f>11.4</f>
        <v>11.4</v>
      </c>
      <c r="I146" s="86">
        <f>1.3</f>
        <v>1.3</v>
      </c>
      <c r="J146" s="87">
        <f>data비교작업!S149*100</f>
        <v>1.3227513227513228</v>
      </c>
      <c r="K146" s="85" t="e">
        <v>#N/A</v>
      </c>
    </row>
    <row r="147" spans="1:11" ht="18" customHeight="1" x14ac:dyDescent="0.25">
      <c r="A147" s="5">
        <v>39872</v>
      </c>
      <c r="B147" s="79">
        <f>62</f>
        <v>62</v>
      </c>
      <c r="C147" s="80">
        <v>52</v>
      </c>
      <c r="D147" s="14">
        <f>36.6</f>
        <v>36.6</v>
      </c>
      <c r="E147" s="14">
        <f>-18.5</f>
        <v>-18.5</v>
      </c>
      <c r="F147" s="14">
        <f>4.4</f>
        <v>4.4000000000000004</v>
      </c>
      <c r="G147" s="14">
        <f>4.1</f>
        <v>4.0999999999999996</v>
      </c>
      <c r="H147" s="14">
        <f>11.4</f>
        <v>11.4</v>
      </c>
      <c r="I147" s="86">
        <f>0.7</f>
        <v>0.7</v>
      </c>
      <c r="J147" s="87">
        <f>data비교작업!S150*100</f>
        <v>0.52840158520474434</v>
      </c>
      <c r="K147" s="85" t="e">
        <v>#N/A</v>
      </c>
    </row>
    <row r="148" spans="1:11" ht="18" customHeight="1" x14ac:dyDescent="0.25">
      <c r="A148" s="5">
        <v>39844</v>
      </c>
      <c r="B148" s="79">
        <f>63</f>
        <v>63</v>
      </c>
      <c r="C148" s="80">
        <v>52</v>
      </c>
      <c r="D148" s="14">
        <f>36.4</f>
        <v>36.4</v>
      </c>
      <c r="E148" s="14">
        <f>-34.5</f>
        <v>-34.5</v>
      </c>
      <c r="F148" s="14">
        <f>4.6</f>
        <v>4.5999999999999996</v>
      </c>
      <c r="G148" s="14">
        <f>3.7</f>
        <v>3.7</v>
      </c>
      <c r="H148" s="14">
        <f>12</f>
        <v>12</v>
      </c>
      <c r="I148" s="86">
        <f>0.4</f>
        <v>0.4</v>
      </c>
      <c r="J148" s="87">
        <f>data비교작업!S151*100</f>
        <v>-0.13192612137202417</v>
      </c>
      <c r="K148" s="85" t="e">
        <v>#N/A</v>
      </c>
    </row>
    <row r="149" spans="1:11" ht="18" customHeight="1" x14ac:dyDescent="0.25">
      <c r="A149" s="5">
        <v>39813</v>
      </c>
      <c r="B149" s="79">
        <f>71</f>
        <v>71</v>
      </c>
      <c r="C149" s="80">
        <v>51</v>
      </c>
      <c r="D149" s="14">
        <f>34.5</f>
        <v>34.5</v>
      </c>
      <c r="E149" s="14">
        <f>-17.9</f>
        <v>-17.899999999999999</v>
      </c>
      <c r="F149" s="14">
        <f>5.5</f>
        <v>5.5</v>
      </c>
      <c r="G149" s="14">
        <f>4.1</f>
        <v>4.0999999999999996</v>
      </c>
      <c r="H149" s="14">
        <f>13.1</f>
        <v>13.1</v>
      </c>
      <c r="I149" s="86">
        <f>0.5</f>
        <v>0.5</v>
      </c>
      <c r="J149" s="87">
        <f>data비교작업!S152*100</f>
        <v>-0.13192612137202417</v>
      </c>
      <c r="K149" s="85" t="e">
        <v>#N/A</v>
      </c>
    </row>
    <row r="150" spans="1:11" ht="18" customHeight="1" x14ac:dyDescent="0.25">
      <c r="A150" s="5">
        <v>39782</v>
      </c>
      <c r="B150" s="79">
        <f>79</f>
        <v>79</v>
      </c>
      <c r="C150" s="80">
        <v>55</v>
      </c>
      <c r="D150" s="14">
        <f>39</f>
        <v>39</v>
      </c>
      <c r="E150" s="14">
        <f>-19.5</f>
        <v>-19.5</v>
      </c>
      <c r="F150" s="14">
        <f>7.8</f>
        <v>7.8</v>
      </c>
      <c r="G150" s="14">
        <f>4.5</f>
        <v>4.5</v>
      </c>
      <c r="H150" s="14">
        <f>14</f>
        <v>14</v>
      </c>
      <c r="I150" s="86">
        <f>0.8</f>
        <v>0.8</v>
      </c>
      <c r="J150" s="87">
        <f>data비교작업!S153*100</f>
        <v>0.3973509933774797</v>
      </c>
      <c r="K150" s="85" t="e">
        <v>#N/A</v>
      </c>
    </row>
    <row r="151" spans="1:11" ht="18" customHeight="1" x14ac:dyDescent="0.25">
      <c r="A151" s="5">
        <v>39752</v>
      </c>
      <c r="B151" s="79">
        <f>89</f>
        <v>89</v>
      </c>
      <c r="C151" s="80">
        <v>64</v>
      </c>
      <c r="D151" s="14">
        <f>38.2</f>
        <v>38.200000000000003</v>
      </c>
      <c r="E151" s="14">
        <f>7.8</f>
        <v>7.8</v>
      </c>
      <c r="F151" s="14">
        <f>10.8</f>
        <v>10.8</v>
      </c>
      <c r="G151" s="14">
        <f>4.8</f>
        <v>4.8</v>
      </c>
      <c r="H151" s="14">
        <f>14.2</f>
        <v>14.2</v>
      </c>
      <c r="I151" s="86">
        <f>1.3</f>
        <v>1.3</v>
      </c>
      <c r="J151" s="87">
        <f>data비교작업!S154*100</f>
        <v>1.0638297872340388</v>
      </c>
      <c r="K151" s="85" t="e">
        <v>#N/A</v>
      </c>
    </row>
    <row r="152" spans="1:11" ht="18" customHeight="1" x14ac:dyDescent="0.25">
      <c r="A152" s="5">
        <v>39721</v>
      </c>
      <c r="B152" s="79">
        <f>94</f>
        <v>94</v>
      </c>
      <c r="C152" s="80">
        <v>73</v>
      </c>
      <c r="D152" s="14">
        <f>47.2</f>
        <v>47.2</v>
      </c>
      <c r="E152" s="14">
        <f>27.6</f>
        <v>27.6</v>
      </c>
      <c r="F152" s="14">
        <f>11.3</f>
        <v>11.3</v>
      </c>
      <c r="G152" s="14">
        <f>5.1</f>
        <v>5.0999999999999996</v>
      </c>
      <c r="H152" s="14">
        <f>14.5</f>
        <v>14.5</v>
      </c>
      <c r="I152" s="86">
        <f>1.5</f>
        <v>1.5</v>
      </c>
      <c r="J152" s="87">
        <f>data비교작업!S155*100</f>
        <v>1.3333333333333335</v>
      </c>
      <c r="K152" s="85" t="e">
        <v>#N/A</v>
      </c>
    </row>
    <row r="153" spans="1:11" ht="18" customHeight="1" x14ac:dyDescent="0.25">
      <c r="A153" s="5">
        <v>39691</v>
      </c>
      <c r="B153" s="79">
        <f>99</f>
        <v>99</v>
      </c>
      <c r="C153" s="80">
        <v>73</v>
      </c>
      <c r="D153" s="14">
        <f>50.1</f>
        <v>50.1</v>
      </c>
      <c r="E153" s="14">
        <f>18.1</f>
        <v>18.100000000000001</v>
      </c>
      <c r="F153" s="14">
        <f>12.3</f>
        <v>12.3</v>
      </c>
      <c r="G153" s="14">
        <f>5.6</f>
        <v>5.6</v>
      </c>
      <c r="H153" s="14">
        <f>14.7</f>
        <v>14.7</v>
      </c>
      <c r="I153" s="86">
        <f>1.7</f>
        <v>1.7</v>
      </c>
      <c r="J153" s="87">
        <f>data비교작업!S156*100</f>
        <v>1.4725568942436336</v>
      </c>
      <c r="K153" s="85" t="e">
        <v>#N/A</v>
      </c>
    </row>
    <row r="154" spans="1:11" ht="18" customHeight="1" x14ac:dyDescent="0.25">
      <c r="A154" s="5">
        <v>39660</v>
      </c>
      <c r="B154" s="79">
        <f>102</f>
        <v>102</v>
      </c>
      <c r="C154" s="80">
        <v>75</v>
      </c>
      <c r="D154" s="14">
        <f>50.8</f>
        <v>50.8</v>
      </c>
      <c r="E154" s="14">
        <f>35.6</f>
        <v>35.6</v>
      </c>
      <c r="F154" s="14">
        <f>12.6</f>
        <v>12.6</v>
      </c>
      <c r="G154" s="14">
        <f>5.9</f>
        <v>5.9</v>
      </c>
      <c r="H154" s="14">
        <f>14.8</f>
        <v>14.8</v>
      </c>
      <c r="I154" s="86">
        <f>1.9</f>
        <v>1.9</v>
      </c>
      <c r="J154" s="87">
        <f>data비교작업!S157*100</f>
        <v>1.7496635262449494</v>
      </c>
      <c r="K154" s="85" t="e">
        <v>#N/A</v>
      </c>
    </row>
    <row r="155" spans="1:11" ht="18" customHeight="1" x14ac:dyDescent="0.25">
      <c r="A155" s="5">
        <v>39629</v>
      </c>
      <c r="B155" s="79">
        <f>105</f>
        <v>105</v>
      </c>
      <c r="C155" s="80">
        <v>76</v>
      </c>
      <c r="D155" s="14">
        <f>49.9</f>
        <v>49.9</v>
      </c>
      <c r="E155" s="14">
        <f>16.4</f>
        <v>16.399999999999999</v>
      </c>
      <c r="F155" s="14">
        <f>10.5</f>
        <v>10.5</v>
      </c>
      <c r="G155" s="14">
        <f>5.5</f>
        <v>5.5</v>
      </c>
      <c r="H155" s="14">
        <f>15.1</f>
        <v>15.1</v>
      </c>
      <c r="I155" s="86">
        <f>2.3</f>
        <v>2.2999999999999998</v>
      </c>
      <c r="J155" s="87">
        <f>data비교작업!S158*100</f>
        <v>2.4390243902438988</v>
      </c>
      <c r="K155" s="85" t="e">
        <v>#N/A</v>
      </c>
    </row>
    <row r="156" spans="1:11" ht="18" customHeight="1" x14ac:dyDescent="0.25">
      <c r="A156" s="5">
        <v>39599</v>
      </c>
      <c r="B156" s="79">
        <f>105</f>
        <v>105</v>
      </c>
      <c r="C156" s="80">
        <v>82</v>
      </c>
      <c r="D156" s="14">
        <f>48.9</f>
        <v>48.9</v>
      </c>
      <c r="E156" s="14">
        <f>26.9</f>
        <v>26.9</v>
      </c>
      <c r="F156" s="14">
        <f>9</f>
        <v>9</v>
      </c>
      <c r="G156" s="14">
        <f>4.9</f>
        <v>4.9000000000000004</v>
      </c>
      <c r="H156" s="14">
        <f>15.8</f>
        <v>15.8</v>
      </c>
      <c r="I156" s="86">
        <f>2.8</f>
        <v>2.8</v>
      </c>
      <c r="J156" s="87">
        <f>data비교작업!S159*100</f>
        <v>3.2742155525238825</v>
      </c>
      <c r="K156" s="85" t="e">
        <v>#N/A</v>
      </c>
    </row>
    <row r="157" spans="1:11" ht="18" customHeight="1" x14ac:dyDescent="0.25">
      <c r="A157" s="5">
        <v>39568</v>
      </c>
      <c r="B157" s="79">
        <f>108</f>
        <v>108</v>
      </c>
      <c r="C157" s="80">
        <v>85</v>
      </c>
      <c r="D157" s="14">
        <f>48.5</f>
        <v>48.5</v>
      </c>
      <c r="E157" s="14">
        <f>26.4</f>
        <v>26.4</v>
      </c>
      <c r="F157" s="14">
        <f>7.5</f>
        <v>7.5</v>
      </c>
      <c r="G157" s="14">
        <f>4.1</f>
        <v>4.0999999999999996</v>
      </c>
      <c r="H157" s="14">
        <f>14.9</f>
        <v>14.9</v>
      </c>
      <c r="I157" s="86">
        <f>3.1</f>
        <v>3.1</v>
      </c>
      <c r="J157" s="87">
        <f>data비교작업!S160*100</f>
        <v>3.5616438356164308</v>
      </c>
      <c r="K157" s="85" t="e">
        <v>#N/A</v>
      </c>
    </row>
    <row r="158" spans="1:11" ht="18" customHeight="1" x14ac:dyDescent="0.25">
      <c r="A158" s="5">
        <v>39538</v>
      </c>
      <c r="B158" s="79">
        <f>102</f>
        <v>102</v>
      </c>
      <c r="C158" s="80">
        <v>81</v>
      </c>
      <c r="D158" s="14">
        <f>49.7</f>
        <v>49.7</v>
      </c>
      <c r="E158" s="14">
        <f>18.4</f>
        <v>18.399999999999999</v>
      </c>
      <c r="F158" s="14">
        <f>6</f>
        <v>6</v>
      </c>
      <c r="G158" s="14">
        <f>3.9</f>
        <v>3.9</v>
      </c>
      <c r="H158" s="14">
        <f>13.9</f>
        <v>13.9</v>
      </c>
      <c r="I158" s="86">
        <f>3.6</f>
        <v>3.6</v>
      </c>
      <c r="J158" s="87">
        <f>data비교작업!S161*100</f>
        <v>3.9889958734525326</v>
      </c>
      <c r="K158" s="85" t="e">
        <v>#N/A</v>
      </c>
    </row>
    <row r="159" spans="1:11" ht="18" customHeight="1" x14ac:dyDescent="0.25">
      <c r="A159" s="5">
        <v>39507</v>
      </c>
      <c r="B159" s="79">
        <f>99</f>
        <v>99</v>
      </c>
      <c r="C159" s="80">
        <v>83</v>
      </c>
      <c r="D159" s="14">
        <f>48.8</f>
        <v>48.8</v>
      </c>
      <c r="E159" s="14">
        <f>18.9</f>
        <v>18.899999999999999</v>
      </c>
      <c r="F159" s="14">
        <f>5.1</f>
        <v>5.0999999999999996</v>
      </c>
      <c r="G159" s="14">
        <f>3.6</f>
        <v>3.6</v>
      </c>
      <c r="H159" s="14">
        <f>13.4</f>
        <v>13.4</v>
      </c>
      <c r="I159" s="86">
        <f>4.2</f>
        <v>4.2</v>
      </c>
      <c r="J159" s="87">
        <f>data비교작업!S162*100</f>
        <v>4.4137931034482794</v>
      </c>
      <c r="K159" s="85" t="e">
        <v>#N/A</v>
      </c>
    </row>
    <row r="160" spans="1:11" ht="18" customHeight="1" x14ac:dyDescent="0.25">
      <c r="A160" s="5">
        <v>39478</v>
      </c>
      <c r="B160" s="79">
        <f>102</f>
        <v>102</v>
      </c>
      <c r="C160" s="80">
        <v>83</v>
      </c>
      <c r="D160" s="14">
        <f>50.9</f>
        <v>50.9</v>
      </c>
      <c r="E160" s="14">
        <f>14.9</f>
        <v>14.9</v>
      </c>
      <c r="F160" s="14">
        <f>4.1</f>
        <v>4.0999999999999996</v>
      </c>
      <c r="G160" s="14">
        <f>3.9</f>
        <v>3.9</v>
      </c>
      <c r="H160" s="14">
        <f>12.5</f>
        <v>12.5</v>
      </c>
      <c r="I160" s="86">
        <f>4.8</f>
        <v>4.8</v>
      </c>
      <c r="J160" s="87">
        <f>data비교작업!S163*100</f>
        <v>4.986149584487527</v>
      </c>
      <c r="K160" s="85" t="e">
        <v>#N/A</v>
      </c>
    </row>
    <row r="161" spans="1:11" ht="18" customHeight="1" x14ac:dyDescent="0.25">
      <c r="A161" s="5">
        <v>39447</v>
      </c>
      <c r="B161" s="79">
        <f>105</f>
        <v>105</v>
      </c>
      <c r="C161" s="80">
        <v>85</v>
      </c>
      <c r="D161" s="14">
        <f>50.1</f>
        <v>50.1</v>
      </c>
      <c r="E161" s="14">
        <f>14.8</f>
        <v>14.8</v>
      </c>
      <c r="F161" s="14">
        <f>3.6</f>
        <v>3.6</v>
      </c>
      <c r="G161" s="14">
        <f>3.6</f>
        <v>3.6</v>
      </c>
      <c r="H161" s="14">
        <f>11.5</f>
        <v>11.5</v>
      </c>
      <c r="I161" s="86">
        <f>5.1</f>
        <v>5.0999999999999996</v>
      </c>
      <c r="J161" s="87">
        <f>data비교작업!S164*100</f>
        <v>5.424200278164105</v>
      </c>
      <c r="K161" s="85" t="e">
        <v>#N/A</v>
      </c>
    </row>
    <row r="162" spans="1:11" ht="18" customHeight="1" x14ac:dyDescent="0.25">
      <c r="A162" s="5">
        <v>39416</v>
      </c>
      <c r="B162" s="79">
        <f>107</f>
        <v>107</v>
      </c>
      <c r="C162" s="80">
        <v>88</v>
      </c>
      <c r="D162" s="14">
        <f>51.5</f>
        <v>51.5</v>
      </c>
      <c r="E162" s="14">
        <f>17</f>
        <v>17</v>
      </c>
      <c r="F162" s="14">
        <f>3.1</f>
        <v>3.1</v>
      </c>
      <c r="G162" s="14">
        <f>3.5</f>
        <v>3.5</v>
      </c>
      <c r="H162" s="14">
        <f>11.3</f>
        <v>11.3</v>
      </c>
      <c r="I162" s="86">
        <f>5</f>
        <v>5</v>
      </c>
      <c r="J162" s="87">
        <f>data비교작업!S165*100</f>
        <v>5.1532033426183883</v>
      </c>
      <c r="K162" s="85" t="e">
        <v>#N/A</v>
      </c>
    </row>
    <row r="163" spans="1:11" ht="18" customHeight="1" x14ac:dyDescent="0.25">
      <c r="A163" s="5">
        <v>39386</v>
      </c>
      <c r="B163" s="79">
        <f>103</f>
        <v>103</v>
      </c>
      <c r="C163" s="80">
        <v>87</v>
      </c>
      <c r="D163" s="14">
        <f>52.8</f>
        <v>52.8</v>
      </c>
      <c r="E163" s="14">
        <f>22.9</f>
        <v>22.9</v>
      </c>
      <c r="F163" s="14">
        <f>2.1</f>
        <v>2.1</v>
      </c>
      <c r="G163" s="14">
        <f>3</f>
        <v>3</v>
      </c>
      <c r="H163" s="14">
        <f>10.8</f>
        <v>10.8</v>
      </c>
      <c r="I163" s="86">
        <f>4.9</f>
        <v>4.9000000000000004</v>
      </c>
      <c r="J163" s="87">
        <f>data비교작업!S166*100</f>
        <v>5.1748251748251786</v>
      </c>
      <c r="K163" s="85" t="e">
        <v>#N/A</v>
      </c>
    </row>
    <row r="164" spans="1:11" ht="18" customHeight="1" x14ac:dyDescent="0.25">
      <c r="A164" s="5">
        <v>39355</v>
      </c>
      <c r="B164" s="79">
        <f>102</f>
        <v>102</v>
      </c>
      <c r="C164" s="80">
        <v>87</v>
      </c>
      <c r="D164" s="14">
        <f>53.8</f>
        <v>53.8</v>
      </c>
      <c r="E164" s="14">
        <f>-1.1</f>
        <v>-1.1000000000000001</v>
      </c>
      <c r="F164" s="14">
        <f>1</f>
        <v>1</v>
      </c>
      <c r="G164" s="14">
        <f>2.3</f>
        <v>2.2999999999999998</v>
      </c>
      <c r="H164" s="14">
        <f>11</f>
        <v>11</v>
      </c>
      <c r="I164" s="86">
        <f>4.9</f>
        <v>4.9000000000000004</v>
      </c>
      <c r="J164" s="87">
        <f>data비교작업!S167*100</f>
        <v>5.6338028169014089</v>
      </c>
      <c r="K164" s="85" t="e">
        <v>#N/A</v>
      </c>
    </row>
    <row r="165" spans="1:11" ht="18" customHeight="1" x14ac:dyDescent="0.25">
      <c r="A165" s="5">
        <v>39325</v>
      </c>
      <c r="B165" s="79">
        <f>101</f>
        <v>101</v>
      </c>
      <c r="C165" s="80">
        <v>85</v>
      </c>
      <c r="D165" s="14">
        <f>52.2</f>
        <v>52.2</v>
      </c>
      <c r="E165" s="14">
        <f>13.6</f>
        <v>13.6</v>
      </c>
      <c r="F165" s="14">
        <f>0.9</f>
        <v>0.9</v>
      </c>
      <c r="G165" s="14">
        <f>2</f>
        <v>2</v>
      </c>
      <c r="H165" s="14">
        <f>11.4</f>
        <v>11.4</v>
      </c>
      <c r="I165" s="86">
        <f>4.9</f>
        <v>4.9000000000000004</v>
      </c>
      <c r="J165" s="87">
        <f>data비교작업!S168*100</f>
        <v>5.8073654390934966</v>
      </c>
      <c r="K165" s="85" t="e">
        <v>#N/A</v>
      </c>
    </row>
    <row r="166" spans="1:11" ht="18" customHeight="1" x14ac:dyDescent="0.25">
      <c r="A166" s="5">
        <v>39294</v>
      </c>
      <c r="B166" s="79">
        <f>104</f>
        <v>104</v>
      </c>
      <c r="C166" s="80">
        <v>87</v>
      </c>
      <c r="D166" s="14">
        <f>51.8</f>
        <v>51.8</v>
      </c>
      <c r="E166" s="14">
        <f>17.2</f>
        <v>17.2</v>
      </c>
      <c r="F166" s="14">
        <f>1.6</f>
        <v>1.6</v>
      </c>
      <c r="G166" s="14">
        <f>2.5</f>
        <v>2.5</v>
      </c>
      <c r="H166" s="14">
        <f>10.9</f>
        <v>10.9</v>
      </c>
      <c r="I166" s="86">
        <f>4.6</f>
        <v>4.5999999999999996</v>
      </c>
      <c r="J166" s="87">
        <f>data비교작업!S169*100</f>
        <v>5.0919377652050839</v>
      </c>
      <c r="K166" s="85" t="e">
        <v>#N/A</v>
      </c>
    </row>
    <row r="167" spans="1:11" ht="18" customHeight="1" x14ac:dyDescent="0.25">
      <c r="A167" s="5">
        <v>39263</v>
      </c>
      <c r="B167" s="79">
        <f>102</f>
        <v>102</v>
      </c>
      <c r="C167" s="80">
        <v>88</v>
      </c>
      <c r="D167" s="14">
        <f>54</f>
        <v>54</v>
      </c>
      <c r="E167" s="14">
        <f>14.5</f>
        <v>14.5</v>
      </c>
      <c r="F167" s="14">
        <f>1.8</f>
        <v>1.8</v>
      </c>
      <c r="G167" s="14">
        <f>2.5</f>
        <v>2.5</v>
      </c>
      <c r="H167" s="14">
        <f>10.9</f>
        <v>10.9</v>
      </c>
      <c r="I167" s="86">
        <f>4.1</f>
        <v>4.0999999999999996</v>
      </c>
      <c r="J167" s="87">
        <f>data비교작업!S170*100</f>
        <v>4.2372881355932206</v>
      </c>
      <c r="K167" s="85" t="e">
        <v>#N/A</v>
      </c>
    </row>
    <row r="168" spans="1:11" ht="18" customHeight="1" x14ac:dyDescent="0.25">
      <c r="A168" s="5">
        <v>39233</v>
      </c>
      <c r="B168" s="79">
        <f>101</f>
        <v>101</v>
      </c>
      <c r="C168" s="80">
        <v>88</v>
      </c>
      <c r="D168" s="14">
        <f>53.1</f>
        <v>53.1</v>
      </c>
      <c r="E168" s="14">
        <f>11.1</f>
        <v>11.1</v>
      </c>
      <c r="F168" s="14">
        <f>1.4</f>
        <v>1.4</v>
      </c>
      <c r="G168" s="14">
        <f>2.3</f>
        <v>2.2999999999999998</v>
      </c>
      <c r="H168" s="14">
        <f>10.9</f>
        <v>10.9</v>
      </c>
      <c r="I168" s="86">
        <f>3.6</f>
        <v>3.6</v>
      </c>
      <c r="J168" s="87">
        <f>data비교작업!S171*100</f>
        <v>3.5310734463276838</v>
      </c>
      <c r="K168" s="85" t="e">
        <v>#N/A</v>
      </c>
    </row>
    <row r="169" spans="1:11" ht="18" customHeight="1" x14ac:dyDescent="0.25">
      <c r="A169" s="5">
        <v>39202</v>
      </c>
      <c r="B169" s="79">
        <f>102</f>
        <v>102</v>
      </c>
      <c r="C169" s="80">
        <v>87</v>
      </c>
      <c r="D169" s="14">
        <f>52.7</f>
        <v>52.7</v>
      </c>
      <c r="E169" s="14">
        <f>17</f>
        <v>17</v>
      </c>
      <c r="F169" s="14">
        <f>1.1</f>
        <v>1.1000000000000001</v>
      </c>
      <c r="G169" s="14">
        <f>2.4</f>
        <v>2.4</v>
      </c>
      <c r="H169" s="14">
        <f>11.1</f>
        <v>11.1</v>
      </c>
      <c r="I169" s="86">
        <f>3.4</f>
        <v>3.4</v>
      </c>
      <c r="J169" s="87">
        <f>data비교작업!S172*100</f>
        <v>3.3994334277620482</v>
      </c>
      <c r="K169" s="85" t="e">
        <v>#N/A</v>
      </c>
    </row>
    <row r="170" spans="1:11" ht="18" customHeight="1" x14ac:dyDescent="0.25">
      <c r="A170" s="5">
        <v>39172</v>
      </c>
      <c r="B170" s="79">
        <f>100</f>
        <v>100</v>
      </c>
      <c r="C170" s="80">
        <v>85</v>
      </c>
      <c r="D170" s="14">
        <f>52.8</f>
        <v>52.8</v>
      </c>
      <c r="E170" s="14">
        <f>13.2</f>
        <v>13.2</v>
      </c>
      <c r="F170" s="14">
        <f>0.6</f>
        <v>0.6</v>
      </c>
      <c r="G170" s="14">
        <f>2.2</f>
        <v>2.2000000000000002</v>
      </c>
      <c r="H170" s="14">
        <f>11.5</f>
        <v>11.5</v>
      </c>
      <c r="I170" s="86">
        <f>3.3</f>
        <v>3.3</v>
      </c>
      <c r="J170" s="87">
        <f>data비교작업!S173*100</f>
        <v>2.974504249291797</v>
      </c>
      <c r="K170" s="85" t="e">
        <v>#N/A</v>
      </c>
    </row>
    <row r="171" spans="1:11" ht="18" customHeight="1" x14ac:dyDescent="0.25">
      <c r="A171" s="5">
        <v>39141</v>
      </c>
      <c r="B171" s="79">
        <f>97</f>
        <v>97</v>
      </c>
      <c r="C171" s="80">
        <v>81</v>
      </c>
      <c r="D171" s="14">
        <f>54.1</f>
        <v>54.1</v>
      </c>
      <c r="E171" s="14">
        <f>10.3</f>
        <v>10.3</v>
      </c>
      <c r="F171" s="14">
        <f>0.1</f>
        <v>0.1</v>
      </c>
      <c r="G171" s="14">
        <f>2.2</f>
        <v>2.2000000000000002</v>
      </c>
      <c r="H171" s="14">
        <f>11.5</f>
        <v>11.5</v>
      </c>
      <c r="I171" s="86">
        <f>3.3</f>
        <v>3.3</v>
      </c>
      <c r="J171" s="87">
        <f>data비교작업!S174*100</f>
        <v>2.8368794326241136</v>
      </c>
      <c r="K171" s="85" t="e">
        <v>#N/A</v>
      </c>
    </row>
    <row r="172" spans="1:11" ht="18" customHeight="1" x14ac:dyDescent="0.25">
      <c r="A172" s="5">
        <v>39113</v>
      </c>
      <c r="B172" s="79">
        <f>93</f>
        <v>93</v>
      </c>
      <c r="C172" s="80">
        <v>79</v>
      </c>
      <c r="D172" s="14">
        <f>50.4</f>
        <v>50.4</v>
      </c>
      <c r="E172" s="14">
        <f>20.8</f>
        <v>20.8</v>
      </c>
      <c r="F172" s="14">
        <f>0.1</f>
        <v>0.1</v>
      </c>
      <c r="G172" s="14">
        <f>1.7</f>
        <v>1.7</v>
      </c>
      <c r="H172" s="14">
        <f>11.3</f>
        <v>11.3</v>
      </c>
      <c r="I172" s="86">
        <f>3.2</f>
        <v>3.2</v>
      </c>
      <c r="J172" s="87">
        <f>data비교작업!S175*100</f>
        <v>2.5568181818181777</v>
      </c>
      <c r="K172" s="85" t="e">
        <v>#N/A</v>
      </c>
    </row>
    <row r="173" spans="1:11" ht="18" customHeight="1" x14ac:dyDescent="0.25">
      <c r="A173" s="5">
        <v>39082</v>
      </c>
      <c r="B173" s="79">
        <f>100</f>
        <v>100</v>
      </c>
      <c r="C173" s="80">
        <v>84</v>
      </c>
      <c r="D173" s="14">
        <f>51.4</f>
        <v>51.4</v>
      </c>
      <c r="E173" s="14">
        <f>12.3</f>
        <v>12.3</v>
      </c>
      <c r="F173" s="14">
        <f>0.4</f>
        <v>0.4</v>
      </c>
      <c r="G173" s="14">
        <f>2.1</f>
        <v>2.1</v>
      </c>
      <c r="H173" s="14">
        <f>11.4</f>
        <v>11.4</v>
      </c>
      <c r="I173" s="86">
        <f>3.1</f>
        <v>3.1</v>
      </c>
      <c r="J173" s="87">
        <f>data비교작업!S176*100</f>
        <v>2.8612303290414873</v>
      </c>
      <c r="K173" s="85" t="e">
        <v>#N/A</v>
      </c>
    </row>
    <row r="174" spans="1:11" ht="18" customHeight="1" x14ac:dyDescent="0.25">
      <c r="A174" s="5">
        <v>39051</v>
      </c>
      <c r="B174" s="79">
        <f>97</f>
        <v>97</v>
      </c>
      <c r="C174" s="80">
        <v>83</v>
      </c>
      <c r="D174" s="14">
        <f>50.3</f>
        <v>50.3</v>
      </c>
      <c r="E174" s="14">
        <f>18.5</f>
        <v>18.5</v>
      </c>
      <c r="F174" s="14">
        <f>0.2</f>
        <v>0.2</v>
      </c>
      <c r="G174" s="14">
        <f>2.1</f>
        <v>2.1</v>
      </c>
      <c r="H174" s="14">
        <f>11.1</f>
        <v>11.1</v>
      </c>
      <c r="I174" s="86">
        <f>3.2</f>
        <v>3.2</v>
      </c>
      <c r="J174" s="87">
        <f>data비교작업!S177*100</f>
        <v>3.3093525179856074</v>
      </c>
      <c r="K174" s="85" t="e">
        <v>#N/A</v>
      </c>
    </row>
    <row r="175" spans="1:11" ht="18" customHeight="1" x14ac:dyDescent="0.25">
      <c r="A175" s="5">
        <v>39021</v>
      </c>
      <c r="B175" s="79">
        <f>101</f>
        <v>101</v>
      </c>
      <c r="C175" s="80">
        <v>84</v>
      </c>
      <c r="D175" s="14">
        <f>51.4</f>
        <v>51.4</v>
      </c>
      <c r="E175" s="14">
        <f>10.5</f>
        <v>10.5</v>
      </c>
      <c r="F175" s="14">
        <f>0.4</f>
        <v>0.4</v>
      </c>
      <c r="G175" s="14">
        <f>2.2</f>
        <v>2.2000000000000002</v>
      </c>
      <c r="H175" s="14">
        <f>10.1</f>
        <v>10.1</v>
      </c>
      <c r="I175" s="86">
        <f>3.1</f>
        <v>3.1</v>
      </c>
      <c r="J175" s="87">
        <f>data비교작업!S178*100</f>
        <v>3.6231884057971016</v>
      </c>
      <c r="K175" s="85" t="e">
        <v>#N/A</v>
      </c>
    </row>
    <row r="176" spans="1:11" ht="18" customHeight="1" x14ac:dyDescent="0.25">
      <c r="A176" s="5">
        <v>38990</v>
      </c>
      <c r="B176" s="79">
        <f>97</f>
        <v>97</v>
      </c>
      <c r="C176" s="80">
        <v>81</v>
      </c>
      <c r="D176" s="14">
        <f>52.2</f>
        <v>52.2</v>
      </c>
      <c r="E176" s="14">
        <f>20.9</f>
        <v>20.9</v>
      </c>
      <c r="F176" s="14">
        <f>1.6</f>
        <v>1.6</v>
      </c>
      <c r="G176" s="14">
        <f>2.5</f>
        <v>2.5</v>
      </c>
      <c r="H176" s="14">
        <f>8.9</f>
        <v>8.9</v>
      </c>
      <c r="I176" s="86">
        <f>2.9</f>
        <v>2.9</v>
      </c>
      <c r="J176" s="87">
        <f>data비교작업!S179*100</f>
        <v>3.6496350364963499</v>
      </c>
      <c r="K176" s="85" t="e">
        <v>#N/A</v>
      </c>
    </row>
    <row r="177" spans="1:11" ht="18" customHeight="1" x14ac:dyDescent="0.25">
      <c r="A177" s="5">
        <v>38960</v>
      </c>
      <c r="B177" s="79">
        <f>92</f>
        <v>92</v>
      </c>
      <c r="C177" s="80">
        <v>72</v>
      </c>
      <c r="D177" s="14">
        <f>53.7</f>
        <v>53.7</v>
      </c>
      <c r="E177" s="14">
        <f>16.9</f>
        <v>16.899999999999999</v>
      </c>
      <c r="F177" s="14">
        <f>1.7</f>
        <v>1.7</v>
      </c>
      <c r="G177" s="14">
        <f>2.7</f>
        <v>2.7</v>
      </c>
      <c r="H177" s="14">
        <f>7.5</f>
        <v>7.5</v>
      </c>
      <c r="I177" s="86">
        <f>2.7</f>
        <v>2.7</v>
      </c>
      <c r="J177" s="87">
        <f>data비교작업!S180*100</f>
        <v>3.5190615835776997</v>
      </c>
      <c r="K177" s="85" t="e">
        <v>#N/A</v>
      </c>
    </row>
    <row r="178" spans="1:11" ht="18" customHeight="1" x14ac:dyDescent="0.25">
      <c r="A178" s="5">
        <v>38929</v>
      </c>
      <c r="B178" s="79">
        <f>95</f>
        <v>95</v>
      </c>
      <c r="C178" s="80">
        <v>77</v>
      </c>
      <c r="D178" s="14">
        <f>53</f>
        <v>53</v>
      </c>
      <c r="E178" s="14">
        <f>10.9</f>
        <v>10.9</v>
      </c>
      <c r="F178" s="14">
        <f>1.3</f>
        <v>1.3</v>
      </c>
      <c r="G178" s="14">
        <f>2.4</f>
        <v>2.4</v>
      </c>
      <c r="H178" s="14">
        <f>7.7</f>
        <v>7.7</v>
      </c>
      <c r="I178" s="86">
        <f>3.3</f>
        <v>3.3</v>
      </c>
      <c r="J178" s="87">
        <f>data비교작업!S181*100</f>
        <v>4.8961424332344166</v>
      </c>
      <c r="K178" s="85" t="e">
        <v>#N/A</v>
      </c>
    </row>
    <row r="179" spans="1:11" ht="18" customHeight="1" x14ac:dyDescent="0.25">
      <c r="A179" s="5">
        <v>38898</v>
      </c>
      <c r="B179" s="79">
        <f>99</f>
        <v>99</v>
      </c>
      <c r="C179" s="80">
        <v>82</v>
      </c>
      <c r="D179" s="14">
        <f>52</f>
        <v>52</v>
      </c>
      <c r="E179" s="14">
        <f>17.9</f>
        <v>17.899999999999999</v>
      </c>
      <c r="F179" s="14">
        <f>1.6</f>
        <v>1.6</v>
      </c>
      <c r="G179" s="14">
        <f>2.4</f>
        <v>2.4</v>
      </c>
      <c r="H179" s="14">
        <f>7.7</f>
        <v>7.7</v>
      </c>
      <c r="I179" s="86">
        <f>4</f>
        <v>4</v>
      </c>
      <c r="J179" s="87">
        <f>data비교작업!S182*100</f>
        <v>5.6716417910447712</v>
      </c>
      <c r="K179" s="85" t="e">
        <v>#N/A</v>
      </c>
    </row>
    <row r="180" spans="1:11" ht="18" customHeight="1" x14ac:dyDescent="0.25">
      <c r="A180" s="5">
        <v>38868</v>
      </c>
      <c r="B180" s="79">
        <f>98</f>
        <v>98</v>
      </c>
      <c r="C180" s="80">
        <v>83</v>
      </c>
      <c r="D180" s="14">
        <f>53.7</f>
        <v>53.7</v>
      </c>
      <c r="E180" s="14">
        <f>20.8</f>
        <v>20.8</v>
      </c>
      <c r="F180" s="14">
        <f>1.4</f>
        <v>1.4</v>
      </c>
      <c r="G180" s="14">
        <f>2.3</f>
        <v>2.2999999999999998</v>
      </c>
      <c r="H180" s="14">
        <f>7.1</f>
        <v>7.1</v>
      </c>
      <c r="I180" s="86">
        <f>4.5</f>
        <v>4.5</v>
      </c>
      <c r="J180" s="87">
        <f>data비교작업!S183*100</f>
        <v>5.6716417910447712</v>
      </c>
      <c r="K180" s="85" t="e">
        <v>#N/A</v>
      </c>
    </row>
    <row r="181" spans="1:11" ht="18" customHeight="1" x14ac:dyDescent="0.25">
      <c r="A181" s="5">
        <v>38837</v>
      </c>
      <c r="B181" s="79">
        <f>103</f>
        <v>103</v>
      </c>
      <c r="C181" s="80">
        <v>87</v>
      </c>
      <c r="D181" s="14">
        <f>55.2</f>
        <v>55.2</v>
      </c>
      <c r="E181" s="14">
        <f>11.9</f>
        <v>11.9</v>
      </c>
      <c r="F181" s="14">
        <f>0.4</f>
        <v>0.4</v>
      </c>
      <c r="G181" s="14">
        <f>2</f>
        <v>2</v>
      </c>
      <c r="H181" s="14">
        <f>6.8</f>
        <v>6.8</v>
      </c>
      <c r="I181" s="86">
        <f>4.6</f>
        <v>4.5999999999999996</v>
      </c>
      <c r="J181" s="87">
        <f>data비교작업!S184*100</f>
        <v>5.3731343283582005</v>
      </c>
      <c r="K181" s="85" t="e">
        <v>#N/A</v>
      </c>
    </row>
    <row r="182" spans="1:11" ht="18" customHeight="1" x14ac:dyDescent="0.25">
      <c r="A182" s="5">
        <v>38807</v>
      </c>
      <c r="B182" s="79">
        <f>100</f>
        <v>100</v>
      </c>
      <c r="C182" s="80">
        <v>85</v>
      </c>
      <c r="D182" s="14">
        <f>54.3</f>
        <v>54.3</v>
      </c>
      <c r="E182" s="14">
        <f>12.1</f>
        <v>12.1</v>
      </c>
      <c r="F182" s="14">
        <f>0.5</f>
        <v>0.5</v>
      </c>
      <c r="G182" s="14">
        <f>2</f>
        <v>2</v>
      </c>
      <c r="H182" s="14">
        <f>7.2</f>
        <v>7.2</v>
      </c>
      <c r="I182" s="86">
        <f>5</f>
        <v>5</v>
      </c>
      <c r="J182" s="87">
        <f>data비교작업!S185*100</f>
        <v>5.8470764617691025</v>
      </c>
      <c r="K182" s="85" t="e">
        <v>#N/A</v>
      </c>
    </row>
    <row r="183" spans="1:11" ht="18" customHeight="1" x14ac:dyDescent="0.25">
      <c r="A183" s="5">
        <v>38776</v>
      </c>
      <c r="B183" s="79">
        <f>98</f>
        <v>98</v>
      </c>
      <c r="C183" s="80">
        <v>82</v>
      </c>
      <c r="D183" s="14">
        <f>55.8</f>
        <v>55.8</v>
      </c>
      <c r="E183" s="14">
        <f>16.6</f>
        <v>16.600000000000001</v>
      </c>
      <c r="F183" s="14">
        <f>0.7</f>
        <v>0.7</v>
      </c>
      <c r="G183" s="14">
        <f>2</f>
        <v>2</v>
      </c>
      <c r="H183" s="14">
        <f>7.2</f>
        <v>7.2</v>
      </c>
      <c r="I183" s="86">
        <f>5.2</f>
        <v>5.2</v>
      </c>
      <c r="J183" s="87">
        <f>data비교작업!S186*100</f>
        <v>6.4954682779456157</v>
      </c>
      <c r="K183" s="85" t="e">
        <v>#N/A</v>
      </c>
    </row>
    <row r="184" spans="1:11" ht="18" customHeight="1" x14ac:dyDescent="0.25">
      <c r="A184" s="5">
        <v>38748</v>
      </c>
      <c r="B184" s="79">
        <f>101</f>
        <v>101</v>
      </c>
      <c r="C184" s="80">
        <v>87</v>
      </c>
      <c r="D184" s="14">
        <f>55</f>
        <v>55</v>
      </c>
      <c r="E184" s="14">
        <f>3.6</f>
        <v>3.6</v>
      </c>
      <c r="F184" s="14">
        <f>0.8</f>
        <v>0.8</v>
      </c>
      <c r="G184" s="14">
        <f>2.2</f>
        <v>2.2000000000000002</v>
      </c>
      <c r="H184" s="14">
        <f>7.3</f>
        <v>7.3</v>
      </c>
      <c r="I184" s="86">
        <f>5.3</f>
        <v>5.3</v>
      </c>
      <c r="J184" s="87">
        <f>data비교작업!S187*100</f>
        <v>6.9908814589665784</v>
      </c>
      <c r="K184" s="85" t="e">
        <v>#N/A</v>
      </c>
    </row>
    <row r="185" spans="1:11" ht="18" customHeight="1" x14ac:dyDescent="0.25">
      <c r="A185" s="5">
        <v>38717</v>
      </c>
      <c r="B185" s="79">
        <f>102</f>
        <v>102</v>
      </c>
      <c r="C185" s="80">
        <v>87</v>
      </c>
      <c r="D185" s="14">
        <f>55.1</f>
        <v>55.1</v>
      </c>
      <c r="E185" s="14">
        <f>10.5</f>
        <v>10.5</v>
      </c>
      <c r="F185" s="14">
        <f>1.4</f>
        <v>1.4</v>
      </c>
      <c r="G185" s="14">
        <f>2.6</f>
        <v>2.6</v>
      </c>
      <c r="H185" s="14">
        <f>7</f>
        <v>7</v>
      </c>
      <c r="I185" s="86">
        <f>4.8</f>
        <v>4.8</v>
      </c>
      <c r="J185" s="87">
        <f>data비교작업!S188*100</f>
        <v>6.3926940639269443</v>
      </c>
      <c r="K185" s="85" t="e">
        <v>#N/A</v>
      </c>
    </row>
    <row r="186" spans="1:11" ht="18" customHeight="1" x14ac:dyDescent="0.25">
      <c r="A186" s="5">
        <v>38686</v>
      </c>
      <c r="B186" s="79">
        <f>95</f>
        <v>95</v>
      </c>
      <c r="C186" s="80">
        <v>83</v>
      </c>
      <c r="D186" s="14">
        <f>56.7</f>
        <v>56.7</v>
      </c>
      <c r="E186" s="14">
        <f>11.9</f>
        <v>11.9</v>
      </c>
      <c r="F186" s="14">
        <f>1</f>
        <v>1</v>
      </c>
      <c r="G186" s="14">
        <f>2.5</f>
        <v>2.5</v>
      </c>
      <c r="H186" s="14">
        <f>6.6</f>
        <v>6.6</v>
      </c>
      <c r="I186" s="86">
        <f>4.4</f>
        <v>4.4000000000000004</v>
      </c>
      <c r="J186" s="87">
        <f>data비교작업!S189*100</f>
        <v>5.9451219512195213</v>
      </c>
      <c r="K186" s="85" t="e">
        <v>#N/A</v>
      </c>
    </row>
    <row r="187" spans="1:11" ht="18" customHeight="1" x14ac:dyDescent="0.25">
      <c r="A187" s="5">
        <v>38656</v>
      </c>
      <c r="B187" s="79">
        <f>94</f>
        <v>94</v>
      </c>
      <c r="C187" s="80">
        <v>82</v>
      </c>
      <c r="D187" s="14">
        <f>57.2</f>
        <v>57.2</v>
      </c>
      <c r="E187" s="14">
        <f>11.9</f>
        <v>11.9</v>
      </c>
      <c r="F187" s="14">
        <f>1.4</f>
        <v>1.4</v>
      </c>
      <c r="G187" s="14">
        <f>2.3</f>
        <v>2.2999999999999998</v>
      </c>
      <c r="H187" s="14">
        <f>6.5</f>
        <v>6.5</v>
      </c>
      <c r="I187" s="86">
        <f>4</f>
        <v>4</v>
      </c>
      <c r="J187" s="87">
        <f>data비교작업!S190*100</f>
        <v>5.343511450381679</v>
      </c>
      <c r="K187" s="85" t="e">
        <v>#N/A</v>
      </c>
    </row>
    <row r="188" spans="1:11" ht="18" customHeight="1" x14ac:dyDescent="0.25">
      <c r="A188" s="5">
        <v>38625</v>
      </c>
      <c r="B188" s="79">
        <f>91</f>
        <v>91</v>
      </c>
      <c r="C188" s="80">
        <v>79</v>
      </c>
      <c r="D188" s="14">
        <f>56.8</f>
        <v>56.8</v>
      </c>
      <c r="E188" s="14">
        <f>17.7</f>
        <v>17.7</v>
      </c>
      <c r="F188" s="14">
        <f>1.1</f>
        <v>1.1000000000000001</v>
      </c>
      <c r="G188" s="14">
        <f>2.5</f>
        <v>2.5</v>
      </c>
      <c r="H188" s="14">
        <f>6.5</f>
        <v>6.5</v>
      </c>
      <c r="I188" s="86">
        <f>3.9</f>
        <v>3.9</v>
      </c>
      <c r="J188" s="87">
        <f>data비교작업!S191*100</f>
        <v>5.0613496932515298</v>
      </c>
      <c r="K188" s="85" t="e">
        <v>#N/A</v>
      </c>
    </row>
    <row r="189" spans="1:11" ht="18" customHeight="1" x14ac:dyDescent="0.25">
      <c r="A189" s="5">
        <v>38595</v>
      </c>
      <c r="B189" s="79">
        <f>88</f>
        <v>88</v>
      </c>
      <c r="C189" s="80">
        <v>76</v>
      </c>
      <c r="D189" s="14">
        <f>52.4</f>
        <v>52.4</v>
      </c>
      <c r="E189" s="14">
        <f>17.9</f>
        <v>17.899999999999999</v>
      </c>
      <c r="F189" s="14">
        <f>1.1</f>
        <v>1.1000000000000001</v>
      </c>
      <c r="G189" s="14">
        <f>2</f>
        <v>2</v>
      </c>
      <c r="H189" s="14">
        <f>7.7</f>
        <v>7.7</v>
      </c>
      <c r="I189" s="86">
        <f>3.6</f>
        <v>3.6</v>
      </c>
      <c r="J189" s="87">
        <f>data비교작업!S192*100</f>
        <v>4.7619047619047752</v>
      </c>
      <c r="K189" s="85" t="e">
        <v>#N/A</v>
      </c>
    </row>
    <row r="190" spans="1:11" ht="18" customHeight="1" x14ac:dyDescent="0.25">
      <c r="A190" s="5">
        <v>38564</v>
      </c>
      <c r="B190" s="79">
        <f>90</f>
        <v>90</v>
      </c>
      <c r="C190" s="80">
        <v>76</v>
      </c>
      <c r="D190" s="14">
        <f>52.8</f>
        <v>52.8</v>
      </c>
      <c r="E190" s="14">
        <f>10.6</f>
        <v>10.6</v>
      </c>
      <c r="F190" s="14">
        <f>1.7</f>
        <v>1.7</v>
      </c>
      <c r="G190" s="14">
        <f>2.6</f>
        <v>2.6</v>
      </c>
      <c r="H190" s="14">
        <f>7.9</f>
        <v>7.9</v>
      </c>
      <c r="I190" s="86">
        <f>3.2</f>
        <v>3.2</v>
      </c>
      <c r="J190" s="87">
        <f>data비교작업!S193*100</f>
        <v>3.5330261136712928</v>
      </c>
      <c r="K190" s="85" t="e">
        <v>#N/A</v>
      </c>
    </row>
    <row r="191" spans="1:11" ht="18" customHeight="1" x14ac:dyDescent="0.25">
      <c r="A191" s="5">
        <v>38533</v>
      </c>
      <c r="B191" s="79">
        <f>89</f>
        <v>89</v>
      </c>
      <c r="C191" s="80">
        <v>78</v>
      </c>
      <c r="D191" s="14">
        <f>52.4</f>
        <v>52.4</v>
      </c>
      <c r="E191" s="14">
        <f>9.5</f>
        <v>9.5</v>
      </c>
      <c r="F191" s="14">
        <f>1.5</f>
        <v>1.5</v>
      </c>
      <c r="G191" s="14">
        <f>2.8</f>
        <v>2.8</v>
      </c>
      <c r="H191" s="14">
        <f>7.4</f>
        <v>7.4</v>
      </c>
      <c r="I191" s="86">
        <f>2.8</f>
        <v>2.8</v>
      </c>
      <c r="J191" s="87">
        <f>data비교작업!S194*100</f>
        <v>2.9185867895545408</v>
      </c>
      <c r="K191" s="85" t="e">
        <v>#N/A</v>
      </c>
    </row>
    <row r="192" spans="1:11" ht="18" customHeight="1" x14ac:dyDescent="0.25">
      <c r="A192" s="5">
        <v>38503</v>
      </c>
      <c r="B192" s="79">
        <f>92</f>
        <v>92</v>
      </c>
      <c r="C192" s="80">
        <v>80</v>
      </c>
      <c r="D192" s="14">
        <f>50.8</f>
        <v>50.8</v>
      </c>
      <c r="E192" s="14">
        <f>11</f>
        <v>11</v>
      </c>
      <c r="F192" s="14">
        <f>1.9</f>
        <v>1.9</v>
      </c>
      <c r="G192" s="14">
        <f>3.1</f>
        <v>3.1</v>
      </c>
      <c r="H192" s="14">
        <f>7</f>
        <v>7</v>
      </c>
      <c r="I192" s="86">
        <f>2.9</f>
        <v>2.9</v>
      </c>
      <c r="J192" s="87">
        <f>data비교작업!S195*100</f>
        <v>2.9185867895545408</v>
      </c>
      <c r="K192" s="85" t="e">
        <v>#N/A</v>
      </c>
    </row>
    <row r="193" spans="1:11" ht="18" customHeight="1" x14ac:dyDescent="0.25">
      <c r="A193" s="5">
        <v>38472</v>
      </c>
      <c r="B193" s="79">
        <f>93</f>
        <v>93</v>
      </c>
      <c r="C193" s="80">
        <v>84</v>
      </c>
      <c r="D193" s="14">
        <f>52.2</f>
        <v>52.2</v>
      </c>
      <c r="E193" s="14">
        <f>6.5</f>
        <v>6.5</v>
      </c>
      <c r="F193" s="14">
        <f>2.8</f>
        <v>2.8</v>
      </c>
      <c r="G193" s="14">
        <f>3.1</f>
        <v>3.1</v>
      </c>
      <c r="H193" s="14">
        <f>6.9</f>
        <v>6.9</v>
      </c>
      <c r="I193" s="86">
        <f>3</f>
        <v>3</v>
      </c>
      <c r="J193" s="87">
        <f>data비교작업!S196*100</f>
        <v>2.9185867895545408</v>
      </c>
      <c r="K193" s="85" t="e">
        <v>#N/A</v>
      </c>
    </row>
    <row r="194" spans="1:11" ht="18" customHeight="1" x14ac:dyDescent="0.25">
      <c r="A194" s="5">
        <v>38442</v>
      </c>
      <c r="B194" s="79">
        <f>90</f>
        <v>90</v>
      </c>
      <c r="C194" s="80">
        <v>83</v>
      </c>
      <c r="D194" s="14">
        <f>55.2</f>
        <v>55.2</v>
      </c>
      <c r="E194" s="14">
        <f>13.1</f>
        <v>13.1</v>
      </c>
      <c r="F194" s="14">
        <f>3</f>
        <v>3</v>
      </c>
      <c r="G194" s="14">
        <f>3</f>
        <v>3</v>
      </c>
      <c r="H194" s="14">
        <f>6.4</f>
        <v>6.4</v>
      </c>
      <c r="I194" s="86">
        <f>2.8</f>
        <v>2.8</v>
      </c>
      <c r="J194" s="87">
        <f>data비교작업!S197*100</f>
        <v>2.7734976887519216</v>
      </c>
      <c r="K194" s="85" t="e">
        <v>#N/A</v>
      </c>
    </row>
    <row r="195" spans="1:11" ht="18" customHeight="1" x14ac:dyDescent="0.25">
      <c r="A195" s="5">
        <v>38411</v>
      </c>
      <c r="B195" s="79">
        <f>89</f>
        <v>89</v>
      </c>
      <c r="C195" s="80">
        <v>76</v>
      </c>
      <c r="D195" s="14">
        <f>55.5</f>
        <v>55.5</v>
      </c>
      <c r="E195" s="14">
        <f>6.6</f>
        <v>6.6</v>
      </c>
      <c r="F195" s="14">
        <f>3.9</f>
        <v>3.9</v>
      </c>
      <c r="G195" s="14">
        <f>3.4</f>
        <v>3.4</v>
      </c>
      <c r="H195" s="14">
        <f>6.4</f>
        <v>6.4</v>
      </c>
      <c r="I195" s="86">
        <f>2.3</f>
        <v>2.2999999999999998</v>
      </c>
      <c r="J195" s="87">
        <f>data비교작업!S198*100</f>
        <v>2.4767801857585274</v>
      </c>
      <c r="K195" s="85" t="e">
        <v>#N/A</v>
      </c>
    </row>
    <row r="196" spans="1:11" ht="18" customHeight="1" x14ac:dyDescent="0.25">
      <c r="A196" s="5">
        <v>38383</v>
      </c>
      <c r="B196" s="79">
        <f>83</f>
        <v>83</v>
      </c>
      <c r="C196" s="80">
        <v>71</v>
      </c>
      <c r="D196" s="14">
        <f>56.8</f>
        <v>56.8</v>
      </c>
      <c r="E196" s="14">
        <f>18.3</f>
        <v>18.3</v>
      </c>
      <c r="F196" s="14">
        <f>5</f>
        <v>5</v>
      </c>
      <c r="G196" s="14">
        <f>3.4</f>
        <v>3.4</v>
      </c>
      <c r="H196" s="14">
        <f>6.3</f>
        <v>6.3</v>
      </c>
      <c r="I196" s="86">
        <f>2</f>
        <v>2</v>
      </c>
      <c r="J196" s="87">
        <f>data비교작업!S199*100</f>
        <v>2.3328149300155521</v>
      </c>
      <c r="K196" s="85" t="e">
        <v>#N/A</v>
      </c>
    </row>
    <row r="197" spans="1:11" ht="18" customHeight="1" x14ac:dyDescent="0.25">
      <c r="A197" s="5">
        <v>38352</v>
      </c>
      <c r="B197" s="79">
        <f>84</f>
        <v>84</v>
      </c>
      <c r="C197" s="80">
        <v>70</v>
      </c>
      <c r="D197" s="14">
        <f>57.2</f>
        <v>57.2</v>
      </c>
      <c r="E197" s="14">
        <f>17.6</f>
        <v>17.600000000000001</v>
      </c>
      <c r="F197" s="14">
        <f>5.4</f>
        <v>5.4</v>
      </c>
      <c r="G197" s="14">
        <f>3</f>
        <v>3</v>
      </c>
      <c r="H197" s="14">
        <f>5.9</f>
        <v>5.9</v>
      </c>
      <c r="I197" s="86">
        <f>2.3</f>
        <v>2.2999999999999998</v>
      </c>
      <c r="J197" s="87">
        <f>data비교작업!S200*100</f>
        <v>2.8169014084507107</v>
      </c>
      <c r="K197" s="85" t="e">
        <v>#N/A</v>
      </c>
    </row>
    <row r="198" spans="1:11" ht="18" customHeight="1" x14ac:dyDescent="0.25">
      <c r="A198" s="5">
        <v>38321</v>
      </c>
      <c r="B198" s="79">
        <f>87</f>
        <v>87</v>
      </c>
      <c r="C198" s="80">
        <v>71</v>
      </c>
      <c r="D198" s="14">
        <f>56.2</f>
        <v>56.2</v>
      </c>
      <c r="E198" s="14">
        <f>26.5</f>
        <v>26.5</v>
      </c>
      <c r="F198" s="14">
        <f>6.9</f>
        <v>6.9</v>
      </c>
      <c r="G198" s="14">
        <f>3.3</f>
        <v>3.3</v>
      </c>
      <c r="H198" s="14">
        <f>5.8</f>
        <v>5.8</v>
      </c>
      <c r="I198" s="86">
        <f>2.4</f>
        <v>2.4</v>
      </c>
      <c r="J198" s="87">
        <f>data비교작업!S201*100</f>
        <v>2.9827315541601123</v>
      </c>
      <c r="K198" s="85" t="e">
        <v>#N/A</v>
      </c>
    </row>
    <row r="199" spans="1:11" ht="18" customHeight="1" x14ac:dyDescent="0.25">
      <c r="A199" s="5">
        <v>38291</v>
      </c>
      <c r="B199" s="79">
        <f>87</f>
        <v>87</v>
      </c>
      <c r="C199" s="80">
        <v>72</v>
      </c>
      <c r="D199" s="14">
        <f>56.3</f>
        <v>56.3</v>
      </c>
      <c r="E199" s="14">
        <f>19.7</f>
        <v>19.7</v>
      </c>
      <c r="F199" s="14">
        <f>7.3</f>
        <v>7.3</v>
      </c>
      <c r="G199" s="14">
        <f>3.8</f>
        <v>3.8</v>
      </c>
      <c r="H199" s="14">
        <f>7</f>
        <v>7</v>
      </c>
      <c r="I199" s="86">
        <f>2.8</f>
        <v>2.8</v>
      </c>
      <c r="J199" s="87">
        <f>data비교작업!S202*100</f>
        <v>3.1496062992125982</v>
      </c>
      <c r="K199" s="85" t="e">
        <v>#N/A</v>
      </c>
    </row>
    <row r="200" spans="1:11" ht="18" customHeight="1" x14ac:dyDescent="0.25">
      <c r="A200" s="5">
        <v>38260</v>
      </c>
      <c r="B200" s="79">
        <f>85</f>
        <v>85</v>
      </c>
      <c r="C200" s="80">
        <v>72</v>
      </c>
      <c r="D200" s="14">
        <f>57.4</f>
        <v>57.4</v>
      </c>
      <c r="E200" s="14">
        <f>22.4</f>
        <v>22.4</v>
      </c>
      <c r="F200" s="14">
        <f>7.5</f>
        <v>7.5</v>
      </c>
      <c r="G200" s="14">
        <f>3.9</f>
        <v>3.9</v>
      </c>
      <c r="H200" s="14">
        <f>6.2</f>
        <v>6.2</v>
      </c>
      <c r="I200" s="86">
        <f>3.1</f>
        <v>3.1</v>
      </c>
      <c r="J200" s="87">
        <f>data비교작업!S203*100</f>
        <v>3.4920634920634965</v>
      </c>
      <c r="K200" s="85" t="e">
        <v>#N/A</v>
      </c>
    </row>
    <row r="201" spans="1:11" ht="18" customHeight="1" x14ac:dyDescent="0.25">
      <c r="A201" s="5">
        <v>38230</v>
      </c>
      <c r="B201" s="79">
        <f>84</f>
        <v>84</v>
      </c>
      <c r="C201" s="80">
        <v>68</v>
      </c>
      <c r="D201" s="14">
        <f>58.5</f>
        <v>58.5</v>
      </c>
      <c r="E201" s="14">
        <f>28.8</f>
        <v>28.8</v>
      </c>
      <c r="F201" s="14">
        <f>7.5</f>
        <v>7.5</v>
      </c>
      <c r="G201" s="14">
        <f>4.8</f>
        <v>4.8</v>
      </c>
      <c r="H201" s="14">
        <f>5.6</f>
        <v>5.6</v>
      </c>
      <c r="I201" s="86">
        <f>3.4</f>
        <v>3.4</v>
      </c>
      <c r="J201" s="87">
        <f>data비교작업!S204*100</f>
        <v>3.8277511961722346</v>
      </c>
      <c r="K201" s="85" t="e">
        <v>#N/A</v>
      </c>
    </row>
    <row r="202" spans="1:11" ht="18" customHeight="1" x14ac:dyDescent="0.25">
      <c r="A202" s="5">
        <v>38199</v>
      </c>
      <c r="B202" s="79">
        <f>85</f>
        <v>85</v>
      </c>
      <c r="C202" s="80">
        <v>67</v>
      </c>
      <c r="D202" s="14">
        <f>59.9</f>
        <v>59.9</v>
      </c>
      <c r="E202" s="14">
        <f>36.1</f>
        <v>36.1</v>
      </c>
      <c r="F202" s="14">
        <f>7</f>
        <v>7</v>
      </c>
      <c r="G202" s="14">
        <f>4.4</f>
        <v>4.4000000000000004</v>
      </c>
      <c r="H202" s="14">
        <f>5.1</f>
        <v>5.0999999999999996</v>
      </c>
      <c r="I202" s="86">
        <f>3.8</f>
        <v>3.8</v>
      </c>
      <c r="J202" s="87">
        <f>data비교작업!S205*100</f>
        <v>4.6623794212218508</v>
      </c>
      <c r="K202" s="85" t="e">
        <v>#N/A</v>
      </c>
    </row>
    <row r="203" spans="1:11" ht="18" customHeight="1" x14ac:dyDescent="0.25">
      <c r="A203" s="5">
        <v>38168</v>
      </c>
      <c r="B203" s="79">
        <f>84</f>
        <v>84</v>
      </c>
      <c r="C203" s="80">
        <v>76</v>
      </c>
      <c r="D203" s="14">
        <f>60.5</f>
        <v>60.5</v>
      </c>
      <c r="E203" s="14">
        <f>38.3</f>
        <v>38.299999999999997</v>
      </c>
      <c r="F203" s="14">
        <f>6.8</f>
        <v>6.8</v>
      </c>
      <c r="G203" s="14">
        <f>3.6</f>
        <v>3.6</v>
      </c>
      <c r="H203" s="14">
        <f>4.5</f>
        <v>4.5</v>
      </c>
      <c r="I203" s="86">
        <f>4.1</f>
        <v>4.0999999999999996</v>
      </c>
      <c r="J203" s="87">
        <f>data비교작업!S206*100</f>
        <v>4.9999999999999902</v>
      </c>
      <c r="K203" s="85" t="e">
        <v>#N/A</v>
      </c>
    </row>
    <row r="204" spans="1:11" ht="18" customHeight="1" x14ac:dyDescent="0.25">
      <c r="A204" s="5">
        <v>38138</v>
      </c>
      <c r="B204" s="79">
        <f>89</f>
        <v>89</v>
      </c>
      <c r="C204" s="80">
        <v>79</v>
      </c>
      <c r="D204" s="14">
        <f>61.4</f>
        <v>61.4</v>
      </c>
      <c r="E204" s="14">
        <f>42</f>
        <v>42</v>
      </c>
      <c r="F204" s="14">
        <f>6.3</f>
        <v>6.3</v>
      </c>
      <c r="G204" s="14">
        <f>3.3</f>
        <v>3.3</v>
      </c>
      <c r="H204" s="14">
        <f>3.9</f>
        <v>3.9</v>
      </c>
      <c r="I204" s="86">
        <f>4.3</f>
        <v>4.3</v>
      </c>
      <c r="J204" s="87">
        <f>data비교작업!S207*100</f>
        <v>5.6818181818181701</v>
      </c>
      <c r="K204" s="85" t="e">
        <v>#N/A</v>
      </c>
    </row>
    <row r="205" spans="1:11" ht="18" customHeight="1" x14ac:dyDescent="0.25">
      <c r="A205" s="5">
        <v>38107</v>
      </c>
      <c r="B205" s="79">
        <f>93</f>
        <v>93</v>
      </c>
      <c r="C205" s="80">
        <v>88</v>
      </c>
      <c r="D205" s="14">
        <f>60.6</f>
        <v>60.6</v>
      </c>
      <c r="E205" s="14">
        <f>36.7</f>
        <v>36.700000000000003</v>
      </c>
      <c r="F205" s="14">
        <f>5.5</f>
        <v>5.5</v>
      </c>
      <c r="G205" s="14">
        <f>3.3</f>
        <v>3.3</v>
      </c>
      <c r="H205" s="14">
        <f>3.1</f>
        <v>3.1</v>
      </c>
      <c r="I205" s="86">
        <f>4.5</f>
        <v>4.5</v>
      </c>
      <c r="J205" s="87">
        <f>data비교작업!S208*100</f>
        <v>5.8536585365853568</v>
      </c>
      <c r="K205" s="85" t="e">
        <v>#N/A</v>
      </c>
    </row>
    <row r="206" spans="1:11" ht="18" customHeight="1" x14ac:dyDescent="0.25">
      <c r="A206" s="5">
        <v>38077</v>
      </c>
      <c r="B206" s="79">
        <f>88</f>
        <v>88</v>
      </c>
      <c r="C206" s="80">
        <v>79</v>
      </c>
      <c r="D206" s="14">
        <f>60.6</f>
        <v>60.6</v>
      </c>
      <c r="E206" s="14">
        <f>37.7</f>
        <v>37.700000000000003</v>
      </c>
      <c r="F206" s="14">
        <f>4.5</f>
        <v>4.5</v>
      </c>
      <c r="G206" s="14">
        <f>3.1</f>
        <v>3.1</v>
      </c>
      <c r="H206" s="14">
        <f>2.7</f>
        <v>2.7</v>
      </c>
      <c r="I206" s="86">
        <f>4.4</f>
        <v>4.4000000000000004</v>
      </c>
      <c r="J206" s="87">
        <f>data비교작업!S209*100</f>
        <v>5.3571428571428639</v>
      </c>
      <c r="K206" s="85" t="e">
        <v>#N/A</v>
      </c>
    </row>
    <row r="207" spans="1:11" ht="18" customHeight="1" x14ac:dyDescent="0.25">
      <c r="A207" s="5">
        <v>38046</v>
      </c>
      <c r="B207" s="79">
        <f>84</f>
        <v>84</v>
      </c>
      <c r="C207" s="80">
        <v>76</v>
      </c>
      <c r="D207" s="14">
        <f>59.9</f>
        <v>59.9</v>
      </c>
      <c r="E207" s="14">
        <f>43.5</f>
        <v>43.5</v>
      </c>
      <c r="F207" s="14">
        <f>4.5</f>
        <v>4.5</v>
      </c>
      <c r="G207" s="14">
        <f>3.3</f>
        <v>3.3</v>
      </c>
      <c r="H207" s="14">
        <f>2.6</f>
        <v>2.6</v>
      </c>
      <c r="I207" s="86">
        <f>4.5</f>
        <v>4.5</v>
      </c>
      <c r="J207" s="87">
        <f>data비교작업!S210*100</f>
        <v>5.0406504065040565</v>
      </c>
      <c r="K207" s="85" t="e">
        <v>#N/A</v>
      </c>
    </row>
    <row r="208" spans="1:11" ht="18" customHeight="1" x14ac:dyDescent="0.25">
      <c r="A208" s="5">
        <v>38017</v>
      </c>
      <c r="B208" s="79">
        <f>84</f>
        <v>84</v>
      </c>
      <c r="C208" s="80">
        <v>77</v>
      </c>
      <c r="D208" s="14">
        <f>60.8</f>
        <v>60.8</v>
      </c>
      <c r="E208" s="14">
        <f>32.6</f>
        <v>32.6</v>
      </c>
      <c r="F208" s="14">
        <f>3.7</f>
        <v>3.7</v>
      </c>
      <c r="G208" s="14">
        <f>3.4</f>
        <v>3.4</v>
      </c>
      <c r="H208" s="14">
        <f>2.4</f>
        <v>2.4</v>
      </c>
      <c r="I208" s="86">
        <f>4.1</f>
        <v>4.0999999999999996</v>
      </c>
      <c r="J208" s="87">
        <f>data비교작업!S211*100</f>
        <v>4.55284552845528</v>
      </c>
      <c r="K208" s="85" t="e">
        <v>#N/A</v>
      </c>
    </row>
    <row r="209" spans="1:11" ht="18" customHeight="1" x14ac:dyDescent="0.25">
      <c r="A209" s="5">
        <v>37986</v>
      </c>
      <c r="B209" s="79">
        <f>88</f>
        <v>88</v>
      </c>
      <c r="C209" s="80">
        <v>81</v>
      </c>
      <c r="D209" s="14">
        <f>60.1</f>
        <v>60.1</v>
      </c>
      <c r="E209" s="14">
        <f>31.3</f>
        <v>31.3</v>
      </c>
      <c r="F209" s="14">
        <f>3.1</f>
        <v>3.1</v>
      </c>
      <c r="G209" s="14">
        <f>3.4</f>
        <v>3.4</v>
      </c>
      <c r="H209" s="14">
        <f>3</f>
        <v>3</v>
      </c>
      <c r="I209" s="86">
        <f>3.6</f>
        <v>3.6</v>
      </c>
      <c r="J209" s="87">
        <f>data비교작업!S212*100</f>
        <v>4.0716612377850163</v>
      </c>
      <c r="K209" s="85" t="e">
        <v>#N/A</v>
      </c>
    </row>
    <row r="210" spans="1:11" ht="18" customHeight="1" x14ac:dyDescent="0.25">
      <c r="A210" s="5">
        <v>37955</v>
      </c>
      <c r="B210" s="79">
        <f>86</f>
        <v>86</v>
      </c>
      <c r="C210" s="80">
        <v>80</v>
      </c>
      <c r="D210" s="14">
        <f>58.4</f>
        <v>58.4</v>
      </c>
      <c r="E210" s="14">
        <f>20</f>
        <v>20</v>
      </c>
      <c r="F210" s="14">
        <f>2.5</f>
        <v>2.5</v>
      </c>
      <c r="G210" s="14">
        <f>3.4</f>
        <v>3.4</v>
      </c>
      <c r="H210" s="14">
        <f>3.2</f>
        <v>3.2</v>
      </c>
      <c r="I210" s="86">
        <f>3</f>
        <v>3</v>
      </c>
      <c r="J210" s="87">
        <f>data비교작업!S213*100</f>
        <v>4.0849673202614376</v>
      </c>
      <c r="K210" s="85" t="e">
        <v>#N/A</v>
      </c>
    </row>
    <row r="211" spans="1:11" ht="18" customHeight="1" x14ac:dyDescent="0.25">
      <c r="A211" s="5">
        <v>37925</v>
      </c>
      <c r="B211" s="79">
        <f>78</f>
        <v>78</v>
      </c>
      <c r="C211" s="80">
        <v>77</v>
      </c>
      <c r="D211" s="14">
        <f>55.2</f>
        <v>55.2</v>
      </c>
      <c r="E211" s="14">
        <f>25.5</f>
        <v>25.5</v>
      </c>
      <c r="F211" s="14">
        <f>2.2</f>
        <v>2.2000000000000002</v>
      </c>
      <c r="G211" s="14">
        <f>3.7</f>
        <v>3.7</v>
      </c>
      <c r="H211" s="14">
        <f>3.8</f>
        <v>3.8</v>
      </c>
      <c r="I211" s="86">
        <f>2.5</f>
        <v>2.5</v>
      </c>
      <c r="J211" s="87">
        <f>data비교작업!S214*100</f>
        <v>3.9279869067103088</v>
      </c>
      <c r="K211" s="85" t="e">
        <v>#N/A</v>
      </c>
    </row>
    <row r="212" spans="1:11" ht="18" customHeight="1" x14ac:dyDescent="0.25">
      <c r="A212" s="5">
        <v>37894</v>
      </c>
      <c r="B212" s="79">
        <f>74</f>
        <v>74</v>
      </c>
      <c r="C212" s="80">
        <v>70</v>
      </c>
      <c r="D212" s="14">
        <f>52.4</f>
        <v>52.4</v>
      </c>
      <c r="E212" s="14">
        <f>22.4</f>
        <v>22.4</v>
      </c>
      <c r="F212" s="14">
        <f>2</f>
        <v>2</v>
      </c>
      <c r="G212" s="14">
        <f>3.3</f>
        <v>3.3</v>
      </c>
      <c r="H212" s="14">
        <f>5.8</f>
        <v>5.8</v>
      </c>
      <c r="I212" s="86">
        <f>1.7</f>
        <v>1.7</v>
      </c>
      <c r="J212" s="87">
        <f>data비교작업!S215*100</f>
        <v>2.6058631921824129</v>
      </c>
      <c r="K212" s="85" t="e">
        <v>#N/A</v>
      </c>
    </row>
    <row r="213" spans="1:11" ht="18" customHeight="1" x14ac:dyDescent="0.25">
      <c r="A213" s="5">
        <v>37864</v>
      </c>
      <c r="B213" s="79">
        <f>73</f>
        <v>73</v>
      </c>
      <c r="C213" s="80">
        <v>68</v>
      </c>
      <c r="D213" s="14">
        <f>53.2</f>
        <v>53.2</v>
      </c>
      <c r="E213" s="14">
        <f>10.1</f>
        <v>10.1</v>
      </c>
      <c r="F213" s="14">
        <f>1.8</f>
        <v>1.8</v>
      </c>
      <c r="G213" s="14">
        <f>3</f>
        <v>3</v>
      </c>
      <c r="H213" s="14">
        <f>6.7</f>
        <v>6.7</v>
      </c>
      <c r="I213" s="86">
        <f>1.2</f>
        <v>1.2</v>
      </c>
      <c r="J213" s="87">
        <f>data비교작업!S216*100</f>
        <v>1.9512195121951263</v>
      </c>
      <c r="K213" s="85" t="e">
        <v>#N/A</v>
      </c>
    </row>
    <row r="214" spans="1:11" ht="18" customHeight="1" x14ac:dyDescent="0.25">
      <c r="A214" s="5">
        <v>37833</v>
      </c>
      <c r="B214" s="79">
        <f>75</f>
        <v>75</v>
      </c>
      <c r="C214" s="80">
        <v>66</v>
      </c>
      <c r="D214" s="14">
        <f>51</f>
        <v>51</v>
      </c>
      <c r="E214" s="14">
        <f>15.2</f>
        <v>15.2</v>
      </c>
      <c r="F214" s="14">
        <f>1.6</f>
        <v>1.6</v>
      </c>
      <c r="G214" s="14">
        <f>3.2</f>
        <v>3.2</v>
      </c>
      <c r="H214" s="14">
        <f>7</f>
        <v>7</v>
      </c>
      <c r="I214" s="86">
        <f>0.7</f>
        <v>0.7</v>
      </c>
      <c r="J214" s="87">
        <f>data비교작업!S217*100</f>
        <v>0.97402597402597624</v>
      </c>
      <c r="K214" s="85" t="e">
        <v>#N/A</v>
      </c>
    </row>
    <row r="215" spans="1:11" ht="18" customHeight="1" x14ac:dyDescent="0.25">
      <c r="A215" s="5">
        <v>37802</v>
      </c>
      <c r="B215" s="79">
        <f>78</f>
        <v>78</v>
      </c>
      <c r="C215" s="80">
        <v>71</v>
      </c>
      <c r="D215" s="14">
        <f>49</f>
        <v>49</v>
      </c>
      <c r="E215" s="14">
        <f>21.4</f>
        <v>21.4</v>
      </c>
      <c r="F215" s="14">
        <f>1.1</f>
        <v>1.1000000000000001</v>
      </c>
      <c r="G215" s="14">
        <f>3</f>
        <v>3</v>
      </c>
      <c r="H215" s="14">
        <f>7.9</f>
        <v>7.9</v>
      </c>
      <c r="I215" s="86">
        <f>0.6</f>
        <v>0.6</v>
      </c>
      <c r="J215" s="87">
        <f>data비교작업!S218*100</f>
        <v>0.48622366288492241</v>
      </c>
      <c r="K215" s="85" t="e">
        <v>#N/A</v>
      </c>
    </row>
    <row r="216" spans="1:11" ht="18" customHeight="1" x14ac:dyDescent="0.25">
      <c r="A216" s="5">
        <v>37772</v>
      </c>
      <c r="B216" s="79">
        <f>78</f>
        <v>78</v>
      </c>
      <c r="C216" s="80">
        <v>74</v>
      </c>
      <c r="D216" s="14">
        <f>49</f>
        <v>49</v>
      </c>
      <c r="E216" s="14">
        <f>3.5</f>
        <v>3.5</v>
      </c>
      <c r="F216" s="14">
        <f>1</f>
        <v>1</v>
      </c>
      <c r="G216" s="14">
        <f>3.2</f>
        <v>3.2</v>
      </c>
      <c r="H216" s="14">
        <f>9.1</f>
        <v>9.1</v>
      </c>
      <c r="I216" s="86">
        <f>0.3</f>
        <v>0.3</v>
      </c>
      <c r="J216" s="87">
        <f>data비교작업!S219*100</f>
        <v>-0.80515297906602246</v>
      </c>
      <c r="K216" s="85" t="e">
        <v>#N/A</v>
      </c>
    </row>
    <row r="217" spans="1:11" ht="18" customHeight="1" x14ac:dyDescent="0.25">
      <c r="A217" s="5">
        <v>37741</v>
      </c>
      <c r="B217" s="79">
        <f>82</f>
        <v>82</v>
      </c>
      <c r="C217" s="80">
        <v>76</v>
      </c>
      <c r="D217" s="14">
        <f>46.1</f>
        <v>46.1</v>
      </c>
      <c r="E217" s="14">
        <f>19.2</f>
        <v>19.2</v>
      </c>
      <c r="F217" s="14">
        <f>1.9</f>
        <v>1.9</v>
      </c>
      <c r="G217" s="14">
        <f>3.7</f>
        <v>3.7</v>
      </c>
      <c r="H217" s="14">
        <f>10.3</f>
        <v>10.3</v>
      </c>
      <c r="I217" s="86">
        <f>0.8</f>
        <v>0.8</v>
      </c>
      <c r="J217" s="87">
        <f>data비교작업!S220*100</f>
        <v>-0.96618357487922923</v>
      </c>
      <c r="K217" s="85" t="e">
        <v>#N/A</v>
      </c>
    </row>
    <row r="218" spans="1:11" ht="18" customHeight="1" x14ac:dyDescent="0.25">
      <c r="A218" s="5">
        <v>37711</v>
      </c>
      <c r="B218" s="79">
        <f>78</f>
        <v>78</v>
      </c>
      <c r="C218" s="80">
        <v>71</v>
      </c>
      <c r="D218" s="14">
        <f>46.3</f>
        <v>46.3</v>
      </c>
      <c r="E218" s="14">
        <f>16.1</f>
        <v>16.100000000000001</v>
      </c>
      <c r="F218" s="14">
        <f>3.3</f>
        <v>3.3</v>
      </c>
      <c r="G218" s="14">
        <f>4.5</f>
        <v>4.5</v>
      </c>
      <c r="H218" s="14">
        <f>13.3</f>
        <v>13.3</v>
      </c>
      <c r="I218" s="86">
        <f>1.6</f>
        <v>1.6</v>
      </c>
      <c r="J218" s="87">
        <f>data비교작업!S221*100</f>
        <v>-0.16207455429497797</v>
      </c>
      <c r="K218" s="85" t="e">
        <v>#N/A</v>
      </c>
    </row>
    <row r="219" spans="1:11" ht="18" customHeight="1" x14ac:dyDescent="0.25">
      <c r="A219" s="5">
        <v>37680</v>
      </c>
      <c r="B219" s="79">
        <f>81</f>
        <v>81</v>
      </c>
      <c r="C219" s="80">
        <v>73</v>
      </c>
      <c r="D219" s="14">
        <f>48.8</f>
        <v>48.8</v>
      </c>
      <c r="E219" s="14">
        <f>21</f>
        <v>21</v>
      </c>
      <c r="F219" s="14">
        <f>2.8</f>
        <v>2.8</v>
      </c>
      <c r="G219" s="14">
        <f>3.9</f>
        <v>3.9</v>
      </c>
      <c r="H219" s="14">
        <f>13.3</f>
        <v>13.3</v>
      </c>
      <c r="I219" s="86">
        <f>2.4</f>
        <v>2.4</v>
      </c>
      <c r="J219" s="87">
        <f>data비교작업!S222*100</f>
        <v>1.3179571663920875</v>
      </c>
      <c r="K219" s="85" t="e">
        <v>#N/A</v>
      </c>
    </row>
    <row r="220" spans="1:11" ht="18" customHeight="1" x14ac:dyDescent="0.25">
      <c r="A220" s="5">
        <v>37652</v>
      </c>
      <c r="B220" s="79">
        <f>89</f>
        <v>89</v>
      </c>
      <c r="C220" s="80">
        <v>82</v>
      </c>
      <c r="D220" s="14">
        <f>51.3</f>
        <v>51.3</v>
      </c>
      <c r="E220" s="14">
        <f>25.8</f>
        <v>25.8</v>
      </c>
      <c r="F220" s="14">
        <f>2.8</f>
        <v>2.8</v>
      </c>
      <c r="G220" s="14">
        <f>3.8</f>
        <v>3.8</v>
      </c>
      <c r="H220" s="14">
        <f>13.9</f>
        <v>13.9</v>
      </c>
      <c r="I220" s="86">
        <f>3.2</f>
        <v>3.2</v>
      </c>
      <c r="J220" s="87">
        <f>data비교작업!S223*100</f>
        <v>3.015075376884417</v>
      </c>
      <c r="K220" s="85" t="e">
        <v>#N/A</v>
      </c>
    </row>
    <row r="221" spans="1:11" ht="18" customHeight="1" x14ac:dyDescent="0.25">
      <c r="A221" s="5">
        <v>37621</v>
      </c>
      <c r="B221" s="79" t="e">
        <f>NA()</f>
        <v>#N/A</v>
      </c>
      <c r="C221" s="80" t="e">
        <v>#N/A</v>
      </c>
      <c r="D221" s="14">
        <f>51.6</f>
        <v>51.6</v>
      </c>
      <c r="E221" s="14">
        <f>26.1</f>
        <v>26.1</v>
      </c>
      <c r="F221" s="14">
        <f>2.2</f>
        <v>2.2000000000000002</v>
      </c>
      <c r="G221" s="14">
        <f>3.7</f>
        <v>3.7</v>
      </c>
      <c r="H221" s="14">
        <f>14.1</f>
        <v>14.1</v>
      </c>
      <c r="I221" s="86">
        <f>3.9</f>
        <v>3.9</v>
      </c>
      <c r="J221" s="87">
        <f>data비교작업!S224*100</f>
        <v>4.9572649572649548</v>
      </c>
      <c r="K221" s="85" t="e">
        <v>#N/A</v>
      </c>
    </row>
    <row r="222" spans="1:11" ht="18" customHeight="1" x14ac:dyDescent="0.25">
      <c r="A222" s="5">
        <v>37590</v>
      </c>
      <c r="B222" s="79" t="e">
        <f>NA()</f>
        <v>#N/A</v>
      </c>
      <c r="C222" s="80" t="e">
        <v>#N/A</v>
      </c>
      <c r="D222" s="14">
        <f>48.5</f>
        <v>48.5</v>
      </c>
      <c r="E222" s="14">
        <f>23.1</f>
        <v>23.1</v>
      </c>
      <c r="F222" s="14">
        <f>1.6</f>
        <v>1.6</v>
      </c>
      <c r="G222" s="14">
        <f>3.5</f>
        <v>3.5</v>
      </c>
      <c r="H222" s="14">
        <f>13.3</f>
        <v>13.3</v>
      </c>
      <c r="I222" s="86">
        <f>4.4</f>
        <v>4.4000000000000004</v>
      </c>
      <c r="J222" s="87">
        <f>data비교작업!S225*100</f>
        <v>6.4347826086956577</v>
      </c>
      <c r="K222" s="85" t="e">
        <v>#N/A</v>
      </c>
    </row>
    <row r="223" spans="1:11" ht="18" customHeight="1" x14ac:dyDescent="0.25">
      <c r="A223" s="5">
        <v>37560</v>
      </c>
      <c r="B223" s="79" t="e">
        <f>NA()</f>
        <v>#N/A</v>
      </c>
      <c r="C223" s="80" t="e">
        <v>#N/A</v>
      </c>
      <c r="D223" s="14">
        <f>49</f>
        <v>49</v>
      </c>
      <c r="E223" s="14">
        <f>24.8</f>
        <v>24.8</v>
      </c>
      <c r="F223" s="14">
        <f>1</f>
        <v>1</v>
      </c>
      <c r="G223" s="14">
        <f>2.8</f>
        <v>2.8</v>
      </c>
      <c r="H223" s="14">
        <f>11.6</f>
        <v>11.6</v>
      </c>
      <c r="I223" s="86">
        <f>5.3</f>
        <v>5.3</v>
      </c>
      <c r="J223" s="87">
        <f>data비교작업!S226*100</f>
        <v>7.9505300353356887</v>
      </c>
      <c r="K223" s="85" t="e">
        <v>#N/A</v>
      </c>
    </row>
    <row r="224" spans="1:11" ht="18" customHeight="1" x14ac:dyDescent="0.25">
      <c r="A224" s="5">
        <v>37529</v>
      </c>
      <c r="B224" s="79" t="e">
        <f>NA()</f>
        <v>#N/A</v>
      </c>
      <c r="C224" s="80" t="e">
        <v>#N/A</v>
      </c>
      <c r="D224" s="14">
        <f>50.5</f>
        <v>50.5</v>
      </c>
      <c r="E224" s="14">
        <f>11.7</f>
        <v>11.7</v>
      </c>
      <c r="F224" s="14">
        <f>0.4</f>
        <v>0.4</v>
      </c>
      <c r="G224" s="14">
        <f>3.1</f>
        <v>3.1</v>
      </c>
      <c r="H224" s="14">
        <f>10.6</f>
        <v>10.6</v>
      </c>
      <c r="I224" s="86">
        <f>6.9</f>
        <v>6.9</v>
      </c>
      <c r="J224" s="87">
        <f>data비교작업!S227*100</f>
        <v>9.2526690391458999</v>
      </c>
      <c r="K224" s="85" t="e">
        <v>#N/A</v>
      </c>
    </row>
    <row r="225" spans="1:11" ht="18" customHeight="1" x14ac:dyDescent="0.25">
      <c r="A225" s="5">
        <v>37499</v>
      </c>
      <c r="B225" s="79" t="e">
        <f>NA()</f>
        <v>#N/A</v>
      </c>
      <c r="C225" s="80" t="e">
        <v>#N/A</v>
      </c>
      <c r="D225" s="14">
        <f>50.3</f>
        <v>50.3</v>
      </c>
      <c r="E225" s="14">
        <f>18.6</f>
        <v>18.600000000000001</v>
      </c>
      <c r="F225" s="14">
        <f>-0.1</f>
        <v>-0.1</v>
      </c>
      <c r="G225" s="14">
        <f>2.4</f>
        <v>2.4</v>
      </c>
      <c r="H225" s="14">
        <f>10.7</f>
        <v>10.7</v>
      </c>
      <c r="I225" s="86">
        <f>8.2</f>
        <v>8.1999999999999993</v>
      </c>
      <c r="J225" s="87">
        <f>data비교작업!S228*100</f>
        <v>10.017889087656533</v>
      </c>
      <c r="K225" s="85" t="e">
        <v>#N/A</v>
      </c>
    </row>
    <row r="226" spans="1:11" ht="18" customHeight="1" x14ac:dyDescent="0.25">
      <c r="A226" s="5">
        <v>37468</v>
      </c>
      <c r="B226" s="79" t="e">
        <f>NA()</f>
        <v>#N/A</v>
      </c>
      <c r="C226" s="80" t="e">
        <v>#N/A</v>
      </c>
      <c r="D226" s="14">
        <f>50.2</f>
        <v>50.2</v>
      </c>
      <c r="E226" s="14">
        <f>17.6</f>
        <v>17.600000000000001</v>
      </c>
      <c r="F226" s="14">
        <f>-0.7</f>
        <v>-0.7</v>
      </c>
      <c r="G226" s="14">
        <f>2.1</f>
        <v>2.1</v>
      </c>
      <c r="H226" s="14">
        <f>11.5</f>
        <v>11.5</v>
      </c>
      <c r="I226" s="86">
        <f>9.5</f>
        <v>9.5</v>
      </c>
      <c r="J226" s="87">
        <f>data비교작업!S229*100</f>
        <v>10.394265232974918</v>
      </c>
      <c r="K226" s="85" t="e">
        <v>#N/A</v>
      </c>
    </row>
    <row r="227" spans="1:11" ht="18" customHeight="1" x14ac:dyDescent="0.25">
      <c r="A227" s="5">
        <v>37437</v>
      </c>
      <c r="B227" s="79" t="e">
        <f>NA()</f>
        <v>#N/A</v>
      </c>
      <c r="C227" s="80" t="e">
        <v>#N/A</v>
      </c>
      <c r="D227" s="14">
        <f>53.6</f>
        <v>53.6</v>
      </c>
      <c r="E227" s="14">
        <f>-0.3</f>
        <v>-0.3</v>
      </c>
      <c r="F227" s="14">
        <f>-0.5</f>
        <v>-0.5</v>
      </c>
      <c r="G227" s="14">
        <f>2.6</f>
        <v>2.6</v>
      </c>
      <c r="H227" s="14">
        <f>12.5</f>
        <v>12.5</v>
      </c>
      <c r="I227" s="86">
        <f>10.7</f>
        <v>10.7</v>
      </c>
      <c r="J227" s="87">
        <f>data비교작업!S230*100</f>
        <v>10.971223021582736</v>
      </c>
      <c r="K227" s="85" t="e">
        <v>#N/A</v>
      </c>
    </row>
    <row r="228" spans="1:11" ht="18" customHeight="1" x14ac:dyDescent="0.25">
      <c r="A228" s="5">
        <v>37407</v>
      </c>
      <c r="B228" s="79" t="e">
        <f>NA()</f>
        <v>#N/A</v>
      </c>
      <c r="C228" s="80" t="e">
        <v>#N/A</v>
      </c>
      <c r="D228" s="14">
        <f>53.1</f>
        <v>53.1</v>
      </c>
      <c r="E228" s="14">
        <f>6.5</f>
        <v>6.5</v>
      </c>
      <c r="F228" s="14">
        <f>-0.3</f>
        <v>-0.3</v>
      </c>
      <c r="G228" s="14">
        <f>3</f>
        <v>3</v>
      </c>
      <c r="H228" s="14">
        <f>12.4</f>
        <v>12.4</v>
      </c>
      <c r="I228" s="86">
        <f>12.1</f>
        <v>12.1</v>
      </c>
      <c r="J228" s="87">
        <f>data비교작업!S231*100</f>
        <v>12.29656419529838</v>
      </c>
      <c r="K228" s="85" t="e">
        <v>#N/A</v>
      </c>
    </row>
    <row r="229" spans="1:11" ht="18" customHeight="1" x14ac:dyDescent="0.25">
      <c r="A229" s="5">
        <v>37376</v>
      </c>
      <c r="B229" s="79" t="e">
        <f>NA()</f>
        <v>#N/A</v>
      </c>
      <c r="C229" s="80" t="e">
        <v>#N/A</v>
      </c>
      <c r="D229" s="14">
        <f>52.4</f>
        <v>52.4</v>
      </c>
      <c r="E229" s="14">
        <f>8.8</f>
        <v>8.8000000000000007</v>
      </c>
      <c r="F229" s="14">
        <f>-0.8</f>
        <v>-0.8</v>
      </c>
      <c r="G229" s="14">
        <f>2.5</f>
        <v>2.5</v>
      </c>
      <c r="H229" s="14">
        <f>12.3</f>
        <v>12.3</v>
      </c>
      <c r="I229" s="86">
        <f>12.4</f>
        <v>12.4</v>
      </c>
      <c r="J229" s="87">
        <f>data비교작업!S232*100</f>
        <v>13.528336380255936</v>
      </c>
      <c r="K229" s="85" t="e">
        <v>#N/A</v>
      </c>
    </row>
    <row r="230" spans="1:11" ht="18" customHeight="1" x14ac:dyDescent="0.25">
      <c r="A230" s="5">
        <v>37346</v>
      </c>
      <c r="B230" s="79" t="e">
        <f>NA()</f>
        <v>#N/A</v>
      </c>
      <c r="C230" s="80" t="e">
        <v>#N/A</v>
      </c>
      <c r="D230" s="14">
        <f>52.4</f>
        <v>52.4</v>
      </c>
      <c r="E230" s="14">
        <f>-6.2</f>
        <v>-6.2</v>
      </c>
      <c r="F230" s="14">
        <f>-1.6</f>
        <v>-1.6</v>
      </c>
      <c r="G230" s="14">
        <f>2.3</f>
        <v>2.2999999999999998</v>
      </c>
      <c r="H230" s="14">
        <f>8.8</f>
        <v>8.8000000000000007</v>
      </c>
      <c r="I230" s="86">
        <f>11.8</f>
        <v>11.8</v>
      </c>
      <c r="J230" s="87">
        <f>data비교작업!S233*100</f>
        <v>13.419117647058831</v>
      </c>
      <c r="K230" s="85" t="e">
        <v>#N/A</v>
      </c>
    </row>
    <row r="231" spans="1:11" ht="18" customHeight="1" x14ac:dyDescent="0.25">
      <c r="A231" s="5">
        <v>37315</v>
      </c>
      <c r="B231" s="79" t="e">
        <f>NA()</f>
        <v>#N/A</v>
      </c>
      <c r="C231" s="80" t="e">
        <v>#N/A</v>
      </c>
      <c r="D231" s="14">
        <f>50.7</f>
        <v>50.7</v>
      </c>
      <c r="E231" s="14">
        <f>-17.5</f>
        <v>-17.5</v>
      </c>
      <c r="F231" s="14">
        <f>-1.9</f>
        <v>-1.9</v>
      </c>
      <c r="G231" s="14">
        <f>2.6</f>
        <v>2.6</v>
      </c>
      <c r="H231" s="14">
        <f>8.8</f>
        <v>8.8000000000000007</v>
      </c>
      <c r="I231" s="86">
        <f>9.9</f>
        <v>9.9</v>
      </c>
      <c r="J231" s="87">
        <f>data비교작업!S234*100</f>
        <v>12.199630314232904</v>
      </c>
      <c r="K231" s="85" t="e">
        <v>#N/A</v>
      </c>
    </row>
    <row r="232" spans="1:11" ht="18" customHeight="1" x14ac:dyDescent="0.25">
      <c r="A232" s="5">
        <v>37287</v>
      </c>
      <c r="B232" s="79" t="e">
        <f>NA()</f>
        <v>#N/A</v>
      </c>
      <c r="C232" s="80" t="e">
        <v>#N/A</v>
      </c>
      <c r="D232" s="14">
        <f>47.5</f>
        <v>47.5</v>
      </c>
      <c r="E232" s="14">
        <f>-10</f>
        <v>-10</v>
      </c>
      <c r="F232" s="14">
        <f>-2.6</f>
        <v>-2.6</v>
      </c>
      <c r="G232" s="14">
        <f>2.6</f>
        <v>2.6</v>
      </c>
      <c r="H232" s="14">
        <f>8.5</f>
        <v>8.5</v>
      </c>
      <c r="I232" s="86">
        <f>8</f>
        <v>8</v>
      </c>
      <c r="J232" s="87">
        <f>data비교작업!S235*100</f>
        <v>10.760667903525055</v>
      </c>
      <c r="K232" s="85" t="e">
        <v>#N/A</v>
      </c>
    </row>
    <row r="233" spans="1:11" ht="18" customHeight="1" x14ac:dyDescent="0.25">
      <c r="A233" s="5">
        <v>37256</v>
      </c>
      <c r="B233" s="79" t="e">
        <f>NA()</f>
        <v>#N/A</v>
      </c>
      <c r="C233" s="80" t="e">
        <v>#N/A</v>
      </c>
      <c r="D233" s="14">
        <f>45.3</f>
        <v>45.3</v>
      </c>
      <c r="E233" s="14">
        <f>-20.4</f>
        <v>-20.399999999999999</v>
      </c>
      <c r="F233" s="14">
        <f>-2.5</f>
        <v>-2.5</v>
      </c>
      <c r="G233" s="14">
        <f>3.2</f>
        <v>3.2</v>
      </c>
      <c r="H233" s="14">
        <f>8.3</f>
        <v>8.3000000000000007</v>
      </c>
      <c r="I233" s="86">
        <f>5.7</f>
        <v>5.7</v>
      </c>
      <c r="J233" s="87">
        <f>data비교작업!S236*100</f>
        <v>7.3394495412844041</v>
      </c>
      <c r="K233" s="85" t="e">
        <v>#N/A</v>
      </c>
    </row>
    <row r="234" spans="1:11" ht="18" customHeight="1" x14ac:dyDescent="0.25">
      <c r="A234" s="5">
        <v>37225</v>
      </c>
      <c r="B234" s="79" t="e">
        <f>NA()</f>
        <v>#N/A</v>
      </c>
      <c r="C234" s="80" t="e">
        <v>#N/A</v>
      </c>
      <c r="D234" s="14">
        <f>44.1</f>
        <v>44.1</v>
      </c>
      <c r="E234" s="14">
        <f>-17.6</f>
        <v>-17.600000000000001</v>
      </c>
      <c r="F234" s="14">
        <f>-1.8</f>
        <v>-1.8</v>
      </c>
      <c r="G234" s="14">
        <f>3.4</f>
        <v>3.4</v>
      </c>
      <c r="H234" s="14">
        <f>8.9</f>
        <v>8.9</v>
      </c>
      <c r="I234" s="86">
        <f>3.8</f>
        <v>3.8</v>
      </c>
      <c r="J234" s="87">
        <f>data비교작업!S237*100</f>
        <v>4.7358834244080175</v>
      </c>
      <c r="K234" s="85" t="e">
        <v>#N/A</v>
      </c>
    </row>
    <row r="235" spans="1:11" ht="18" customHeight="1" x14ac:dyDescent="0.25">
      <c r="A235" s="5">
        <v>37195</v>
      </c>
      <c r="B235" s="79" t="e">
        <f>NA()</f>
        <v>#N/A</v>
      </c>
      <c r="C235" s="80" t="e">
        <v>#N/A</v>
      </c>
      <c r="D235" s="14">
        <f>40.8</f>
        <v>40.799999999999997</v>
      </c>
      <c r="E235" s="14">
        <f>-20.7</f>
        <v>-20.7</v>
      </c>
      <c r="F235" s="14">
        <f>-1.5</f>
        <v>-1.5</v>
      </c>
      <c r="G235" s="14">
        <f>3.4</f>
        <v>3.4</v>
      </c>
      <c r="H235" s="14">
        <f>9.7</f>
        <v>9.6999999999999993</v>
      </c>
      <c r="I235" s="86">
        <f>2.2</f>
        <v>2.2000000000000002</v>
      </c>
      <c r="J235" s="87">
        <f>data비교작업!S238*100</f>
        <v>1.0714285714285741</v>
      </c>
      <c r="K235" s="85" t="e">
        <v>#N/A</v>
      </c>
    </row>
    <row r="236" spans="1:11" ht="18" customHeight="1" x14ac:dyDescent="0.25">
      <c r="A236" s="5">
        <v>37164</v>
      </c>
      <c r="B236" s="79" t="e">
        <f>NA()</f>
        <v>#N/A</v>
      </c>
      <c r="C236" s="80" t="e">
        <v>#N/A</v>
      </c>
      <c r="D236" s="14">
        <f>46.2</f>
        <v>46.2</v>
      </c>
      <c r="E236" s="14">
        <f>-17.7</f>
        <v>-17.7</v>
      </c>
      <c r="F236" s="14">
        <f>-1.1</f>
        <v>-1.1000000000000001</v>
      </c>
      <c r="G236" s="14">
        <f>3.3</f>
        <v>3.3</v>
      </c>
      <c r="H236" s="14">
        <f>8.4</f>
        <v>8.4</v>
      </c>
      <c r="I236" s="86">
        <f>1.3</f>
        <v>1.3</v>
      </c>
      <c r="J236" s="87">
        <f>data비교작업!S239*100</f>
        <v>-0.70671378091872539</v>
      </c>
      <c r="K236" s="85" t="e">
        <v>#N/A</v>
      </c>
    </row>
    <row r="237" spans="1:11" ht="18" customHeight="1" x14ac:dyDescent="0.25">
      <c r="A237" s="5">
        <v>37134</v>
      </c>
      <c r="B237" s="79" t="e">
        <f>NA()</f>
        <v>#N/A</v>
      </c>
      <c r="C237" s="80" t="e">
        <v>#N/A</v>
      </c>
      <c r="D237" s="14">
        <f>46.3</f>
        <v>46.3</v>
      </c>
      <c r="E237" s="14">
        <f>-20.4</f>
        <v>-20.399999999999999</v>
      </c>
      <c r="F237" s="14">
        <f>-0.5</f>
        <v>-0.5</v>
      </c>
      <c r="G237" s="14">
        <f>4.7</f>
        <v>4.7</v>
      </c>
      <c r="H237" s="14">
        <f>8.1</f>
        <v>8.1</v>
      </c>
      <c r="I237" s="86">
        <f>0.5</f>
        <v>0.5</v>
      </c>
      <c r="J237" s="87">
        <f>data비교작업!S240*100</f>
        <v>-1.5845070422535186</v>
      </c>
      <c r="K237" s="85" t="e">
        <v>#N/A</v>
      </c>
    </row>
    <row r="238" spans="1:11" ht="18" customHeight="1" x14ac:dyDescent="0.25">
      <c r="A238" s="5">
        <v>37103</v>
      </c>
      <c r="B238" s="79" t="e">
        <f>NA()</f>
        <v>#N/A</v>
      </c>
      <c r="C238" s="80" t="e">
        <v>#N/A</v>
      </c>
      <c r="D238" s="14">
        <f>43.5</f>
        <v>43.5</v>
      </c>
      <c r="E238" s="14">
        <f>-21.2</f>
        <v>-21.2</v>
      </c>
      <c r="F238" s="14">
        <f>0</f>
        <v>0</v>
      </c>
      <c r="G238" s="14">
        <f>4.8</f>
        <v>4.8</v>
      </c>
      <c r="H238" s="14">
        <f>7.9</f>
        <v>7.9</v>
      </c>
      <c r="I238" s="86">
        <f>0.1</f>
        <v>0.1</v>
      </c>
      <c r="J238" s="87">
        <f>data비교작업!S241*100</f>
        <v>-0.88809946714031984</v>
      </c>
      <c r="K238" s="85" t="e">
        <v>#N/A</v>
      </c>
    </row>
    <row r="239" spans="1:11" ht="18" customHeight="1" x14ac:dyDescent="0.25">
      <c r="A239" s="5">
        <v>37072</v>
      </c>
      <c r="B239" s="79" t="e">
        <f>NA()</f>
        <v>#N/A</v>
      </c>
      <c r="C239" s="80" t="e">
        <v>#N/A</v>
      </c>
      <c r="D239" s="14">
        <f>43.2</f>
        <v>43.2</v>
      </c>
      <c r="E239" s="14">
        <f>-15.2</f>
        <v>-15.2</v>
      </c>
      <c r="F239" s="14">
        <f>0.2</f>
        <v>0.2</v>
      </c>
      <c r="G239" s="14">
        <f>5</f>
        <v>5</v>
      </c>
      <c r="H239" s="14">
        <f>6.3</f>
        <v>6.3</v>
      </c>
      <c r="I239" s="86">
        <f>-0.4</f>
        <v>-0.4</v>
      </c>
      <c r="J239" s="87">
        <f>data비교작업!S242*100</f>
        <v>-0.89126559714795017</v>
      </c>
      <c r="K239" s="85" t="e">
        <v>#N/A</v>
      </c>
    </row>
    <row r="240" spans="1:11" ht="18" customHeight="1" x14ac:dyDescent="0.25">
      <c r="A240" s="5">
        <v>37042</v>
      </c>
      <c r="B240" s="79" t="e">
        <f>NA()</f>
        <v>#N/A</v>
      </c>
      <c r="C240" s="80" t="e">
        <v>#N/A</v>
      </c>
      <c r="D240" s="14">
        <f>41.3</f>
        <v>41.3</v>
      </c>
      <c r="E240" s="14">
        <f>-9.1</f>
        <v>-9.1</v>
      </c>
      <c r="F240" s="14">
        <f>0.8</f>
        <v>0.8</v>
      </c>
      <c r="G240" s="14">
        <f>5.3</f>
        <v>5.3</v>
      </c>
      <c r="H240" s="14">
        <f>5.3</f>
        <v>5.3</v>
      </c>
      <c r="I240" s="86">
        <f>-1.1</f>
        <v>-1.1000000000000001</v>
      </c>
      <c r="J240" s="87">
        <f>data비교작업!S243*100</f>
        <v>-0.89605734767025103</v>
      </c>
      <c r="K240" s="85" t="e">
        <v>#N/A</v>
      </c>
    </row>
    <row r="241" spans="1:11" ht="18" customHeight="1" x14ac:dyDescent="0.25">
      <c r="A241" s="5">
        <v>37011</v>
      </c>
      <c r="B241" s="79" t="e">
        <f>NA()</f>
        <v>#N/A</v>
      </c>
      <c r="C241" s="80" t="e">
        <v>#N/A</v>
      </c>
      <c r="D241" s="14">
        <f>42.7</f>
        <v>42.7</v>
      </c>
      <c r="E241" s="14">
        <f>-10.4</f>
        <v>-10.4</v>
      </c>
      <c r="F241" s="14">
        <f>0.7</f>
        <v>0.7</v>
      </c>
      <c r="G241" s="14">
        <f>4.8</f>
        <v>4.8</v>
      </c>
      <c r="H241" s="14">
        <f>4.3</f>
        <v>4.3</v>
      </c>
      <c r="I241" s="86">
        <f>-1.9</f>
        <v>-1.9</v>
      </c>
      <c r="J241" s="87">
        <f>data비교작업!S244*100</f>
        <v>-1.9713261648745417</v>
      </c>
      <c r="K241" s="85" t="e">
        <v>#N/A</v>
      </c>
    </row>
    <row r="242" spans="1:11" ht="18" customHeight="1" x14ac:dyDescent="0.25">
      <c r="A242" s="5">
        <v>36981</v>
      </c>
      <c r="B242" s="79" t="e">
        <f>NA()</f>
        <v>#N/A</v>
      </c>
      <c r="C242" s="80" t="e">
        <v>#N/A</v>
      </c>
      <c r="D242" s="14">
        <f>43.1</f>
        <v>43.1</v>
      </c>
      <c r="E242" s="14">
        <f>-2.1</f>
        <v>-2.1</v>
      </c>
      <c r="F242" s="14">
        <f>0.2</f>
        <v>0.2</v>
      </c>
      <c r="G242" s="14">
        <f>4</f>
        <v>4</v>
      </c>
      <c r="H242" s="14">
        <f>5.6</f>
        <v>5.6</v>
      </c>
      <c r="I242" s="86">
        <f>-2.3</f>
        <v>-2.2999999999999998</v>
      </c>
      <c r="J242" s="87">
        <f>data비교작업!S245*100</f>
        <v>-2.6833631484794278</v>
      </c>
      <c r="K242" s="85" t="e">
        <v>#N/A</v>
      </c>
    </row>
    <row r="243" spans="1:11" ht="18" customHeight="1" x14ac:dyDescent="0.25">
      <c r="A243" s="5">
        <v>36950</v>
      </c>
      <c r="B243" s="79" t="e">
        <f>NA()</f>
        <v>#N/A</v>
      </c>
      <c r="C243" s="80" t="e">
        <v>#N/A</v>
      </c>
      <c r="D243" s="14">
        <f>42.1</f>
        <v>42.1</v>
      </c>
      <c r="E243" s="14">
        <f>5.3</f>
        <v>5.3</v>
      </c>
      <c r="F243" s="14">
        <f>-0.1</f>
        <v>-0.1</v>
      </c>
      <c r="G243" s="14">
        <f>3.6</f>
        <v>3.6</v>
      </c>
      <c r="H243" s="14">
        <f>5.6</f>
        <v>5.6</v>
      </c>
      <c r="I243" s="86">
        <f>-2.4</f>
        <v>-2.4</v>
      </c>
      <c r="J243" s="87">
        <f>data비교작업!S246*100</f>
        <v>-2.6978417266187051</v>
      </c>
      <c r="K243" s="85" t="e">
        <v>#N/A</v>
      </c>
    </row>
    <row r="244" spans="1:11" ht="18" customHeight="1" x14ac:dyDescent="0.25">
      <c r="A244" s="5">
        <v>36922</v>
      </c>
      <c r="B244" s="79" t="e">
        <f>NA()</f>
        <v>#N/A</v>
      </c>
      <c r="C244" s="80" t="e">
        <v>#N/A</v>
      </c>
      <c r="D244" s="14">
        <f>42.3</f>
        <v>42.3</v>
      </c>
      <c r="E244" s="14">
        <f>4</f>
        <v>4</v>
      </c>
      <c r="F244" s="14">
        <f>-0.1</f>
        <v>-0.1</v>
      </c>
      <c r="G244" s="14">
        <f>3.4</f>
        <v>3.4</v>
      </c>
      <c r="H244" s="14">
        <f>5.2</f>
        <v>5.2</v>
      </c>
      <c r="I244" s="86">
        <f>-2.3</f>
        <v>-2.2999999999999998</v>
      </c>
      <c r="J244" s="87">
        <f>data비교작업!S247*100</f>
        <v>-2.7075812274368229</v>
      </c>
      <c r="K244" s="85" t="e">
        <v>#N/A</v>
      </c>
    </row>
    <row r="245" spans="1:11" ht="18" customHeight="1" x14ac:dyDescent="0.25">
      <c r="A245" s="5">
        <v>36891</v>
      </c>
      <c r="B245" s="79" t="e">
        <f>NA()</f>
        <v>#N/A</v>
      </c>
      <c r="C245" s="80" t="e">
        <v>#N/A</v>
      </c>
      <c r="D245" s="14">
        <f>43.9</f>
        <v>43.9</v>
      </c>
      <c r="E245" s="14">
        <f>0.1</f>
        <v>0.1</v>
      </c>
      <c r="F245" s="14">
        <f>0.6</f>
        <v>0.6</v>
      </c>
      <c r="G245" s="14">
        <f>2.8</f>
        <v>2.8</v>
      </c>
      <c r="H245" s="14">
        <f>3.8</f>
        <v>3.8</v>
      </c>
      <c r="I245" s="86">
        <f>-0.8</f>
        <v>-0.8</v>
      </c>
      <c r="J245" s="87">
        <f>data비교작업!S248*100</f>
        <v>-0.18315018315018575</v>
      </c>
      <c r="K245" s="85" t="e">
        <v>#N/A</v>
      </c>
    </row>
    <row r="246" spans="1:11" ht="18" customHeight="1" x14ac:dyDescent="0.25">
      <c r="A246" s="5">
        <v>36860</v>
      </c>
      <c r="B246" s="79" t="e">
        <f>NA()</f>
        <v>#N/A</v>
      </c>
      <c r="C246" s="80" t="e">
        <v>#N/A</v>
      </c>
      <c r="D246" s="14">
        <f>48.5</f>
        <v>48.5</v>
      </c>
      <c r="E246" s="14">
        <f>5.6</f>
        <v>5.6</v>
      </c>
      <c r="F246" s="14">
        <f>0.3</f>
        <v>0.3</v>
      </c>
      <c r="G246" s="14">
        <f>2.2</f>
        <v>2.2000000000000002</v>
      </c>
      <c r="H246" s="14">
        <f>3.1</f>
        <v>3.1</v>
      </c>
      <c r="I246" s="86">
        <f>0.6</f>
        <v>0.6</v>
      </c>
      <c r="J246" s="87">
        <f>data비교작업!S249*100</f>
        <v>0.91911764705882359</v>
      </c>
      <c r="K246" s="85" t="e">
        <v>#N/A</v>
      </c>
    </row>
    <row r="247" spans="1:11" ht="18" customHeight="1" x14ac:dyDescent="0.25">
      <c r="A247" s="5">
        <v>36830</v>
      </c>
      <c r="B247" s="79" t="e">
        <f>NA()</f>
        <v>#N/A</v>
      </c>
      <c r="C247" s="80" t="e">
        <v>#N/A</v>
      </c>
      <c r="D247" s="14">
        <f>48.7</f>
        <v>48.7</v>
      </c>
      <c r="E247" s="14">
        <f>13.4</f>
        <v>13.4</v>
      </c>
      <c r="F247" s="14">
        <f>0.9</f>
        <v>0.9</v>
      </c>
      <c r="G247" s="14">
        <f>2.6</f>
        <v>2.6</v>
      </c>
      <c r="H247" s="14">
        <f>2.6</f>
        <v>2.6</v>
      </c>
      <c r="I247" s="86">
        <f>3.3</f>
        <v>3.3</v>
      </c>
      <c r="J247" s="87">
        <f>data비교작업!S250*100</f>
        <v>3.7037037037037033</v>
      </c>
      <c r="K247" s="85" t="e">
        <v>#N/A</v>
      </c>
    </row>
    <row r="248" spans="1:11" ht="18" customHeight="1" x14ac:dyDescent="0.25">
      <c r="A248" s="5">
        <v>36799</v>
      </c>
      <c r="B248" s="79" t="e">
        <f>NA()</f>
        <v>#N/A</v>
      </c>
      <c r="C248" s="80" t="e">
        <v>#N/A</v>
      </c>
      <c r="D248" s="14">
        <f>49.7</f>
        <v>49.7</v>
      </c>
      <c r="E248" s="14">
        <f>26.5</f>
        <v>26.5</v>
      </c>
      <c r="F248" s="14">
        <f>2.1</f>
        <v>2.1</v>
      </c>
      <c r="G248" s="14">
        <f>3.5</f>
        <v>3.5</v>
      </c>
      <c r="H248" s="14">
        <f>3.8</f>
        <v>3.8</v>
      </c>
      <c r="I248" s="86">
        <f>5.1</f>
        <v>5.0999999999999996</v>
      </c>
      <c r="J248" s="87">
        <f>data비교작업!S251*100</f>
        <v>5.0092764378478716</v>
      </c>
      <c r="K248" s="85" t="e">
        <v>#N/A</v>
      </c>
    </row>
    <row r="249" spans="1:11" ht="18" customHeight="1" x14ac:dyDescent="0.25">
      <c r="A249" s="5">
        <v>36769</v>
      </c>
      <c r="B249" s="79" t="e">
        <f>NA()</f>
        <v>#N/A</v>
      </c>
      <c r="C249" s="80" t="e">
        <v>#N/A</v>
      </c>
      <c r="D249" s="14">
        <f>49.9</f>
        <v>49.9</v>
      </c>
      <c r="E249" s="14">
        <f>30.1</f>
        <v>30.1</v>
      </c>
      <c r="F249" s="14">
        <f>2.2</f>
        <v>2.2000000000000002</v>
      </c>
      <c r="G249" s="14">
        <f>2.4</f>
        <v>2.4</v>
      </c>
      <c r="H249" s="14">
        <f>1.9</f>
        <v>1.9</v>
      </c>
      <c r="I249" s="86">
        <f>6.5</f>
        <v>6.5</v>
      </c>
      <c r="J249" s="87">
        <f>data비교작업!S252*100</f>
        <v>5.9701492537313348</v>
      </c>
      <c r="K249" s="85" t="e">
        <v>#N/A</v>
      </c>
    </row>
    <row r="250" spans="1:11" ht="18" customHeight="1" x14ac:dyDescent="0.25">
      <c r="A250" s="5">
        <v>36738</v>
      </c>
      <c r="B250" s="79" t="e">
        <f>NA()</f>
        <v>#N/A</v>
      </c>
      <c r="C250" s="80" t="e">
        <v>#N/A</v>
      </c>
      <c r="D250" s="14">
        <f>52.5</f>
        <v>52.5</v>
      </c>
      <c r="E250" s="14">
        <f>23</f>
        <v>23</v>
      </c>
      <c r="F250" s="14">
        <f>2.9</f>
        <v>2.9</v>
      </c>
      <c r="G250" s="14">
        <f>3</f>
        <v>3</v>
      </c>
      <c r="H250" s="14">
        <f>0.7</f>
        <v>0.7</v>
      </c>
      <c r="I250" s="86">
        <f>6.7</f>
        <v>6.7</v>
      </c>
      <c r="J250" s="87">
        <f>data비교작업!S253*100</f>
        <v>6.0263653483992385</v>
      </c>
      <c r="K250" s="85" t="e">
        <v>#N/A</v>
      </c>
    </row>
    <row r="251" spans="1:11" ht="18" customHeight="1" x14ac:dyDescent="0.25">
      <c r="A251" s="5">
        <v>36707</v>
      </c>
      <c r="B251" s="79" t="e">
        <f>NA()</f>
        <v>#N/A</v>
      </c>
      <c r="C251" s="80" t="e">
        <v>#N/A</v>
      </c>
      <c r="D251" s="14">
        <f>51.4</f>
        <v>51.4</v>
      </c>
      <c r="E251" s="14">
        <f>19</f>
        <v>19</v>
      </c>
      <c r="F251" s="14">
        <f>2.6</f>
        <v>2.6</v>
      </c>
      <c r="G251" s="14">
        <f>2.2</f>
        <v>2.2000000000000002</v>
      </c>
      <c r="H251" s="14">
        <f>0.6</f>
        <v>0.6</v>
      </c>
      <c r="I251" s="86">
        <f>7.6</f>
        <v>7.6</v>
      </c>
      <c r="J251" s="87">
        <f>data비교작업!S254*100</f>
        <v>7.4712643678160884</v>
      </c>
      <c r="K251" s="85" t="e">
        <v>#N/A</v>
      </c>
    </row>
    <row r="252" spans="1:11" ht="18" customHeight="1" x14ac:dyDescent="0.25">
      <c r="A252" s="5">
        <v>36677</v>
      </c>
      <c r="B252" s="79" t="e">
        <f>NA()</f>
        <v>#N/A</v>
      </c>
      <c r="C252" s="80" t="e">
        <v>#N/A</v>
      </c>
      <c r="D252" s="14">
        <f>53.2</f>
        <v>53.2</v>
      </c>
      <c r="E252" s="14">
        <f>28.1</f>
        <v>28.1</v>
      </c>
      <c r="F252" s="14">
        <f>1.7</f>
        <v>1.7</v>
      </c>
      <c r="G252" s="14">
        <f>1.1</f>
        <v>1.1000000000000001</v>
      </c>
      <c r="H252" s="14">
        <f>1.1</f>
        <v>1.1000000000000001</v>
      </c>
      <c r="I252" s="86">
        <f>8.4</f>
        <v>8.4</v>
      </c>
      <c r="J252" s="87">
        <f>data비교작업!S255*100</f>
        <v>8.7719298245614041</v>
      </c>
      <c r="K252" s="85" t="e">
        <v>#N/A</v>
      </c>
    </row>
    <row r="253" spans="1:11" ht="18" customHeight="1" x14ac:dyDescent="0.25">
      <c r="A253" s="5">
        <v>36646</v>
      </c>
      <c r="B253" s="79" t="e">
        <f>NA()</f>
        <v>#N/A</v>
      </c>
      <c r="C253" s="80" t="e">
        <v>#N/A</v>
      </c>
      <c r="D253" s="14">
        <f>54.7</f>
        <v>54.7</v>
      </c>
      <c r="E253" s="14">
        <f>17.6</f>
        <v>17.600000000000001</v>
      </c>
      <c r="F253" s="14">
        <f>2.4</f>
        <v>2.4</v>
      </c>
      <c r="G253" s="14">
        <f>1.4</f>
        <v>1.4</v>
      </c>
      <c r="H253" s="14">
        <f>1.8</f>
        <v>1.8</v>
      </c>
      <c r="I253" s="86">
        <f>9.7</f>
        <v>9.6999999999999993</v>
      </c>
      <c r="J253" s="87">
        <f>data비교작업!S256*100</f>
        <v>10.276679841897224</v>
      </c>
      <c r="K253" s="85" t="e">
        <v>#N/A</v>
      </c>
    </row>
    <row r="254" spans="1:11" ht="18" customHeight="1" x14ac:dyDescent="0.25">
      <c r="A254" s="5">
        <v>36616</v>
      </c>
      <c r="B254" s="79" t="e">
        <f>NA()</f>
        <v>#N/A</v>
      </c>
      <c r="C254" s="80" t="e">
        <v>#N/A</v>
      </c>
      <c r="D254" s="14">
        <f>54.9</f>
        <v>54.9</v>
      </c>
      <c r="E254" s="14">
        <f>23.8</f>
        <v>23.8</v>
      </c>
      <c r="F254" s="14">
        <f>3.2</f>
        <v>3.2</v>
      </c>
      <c r="G254" s="14">
        <f>2.1</f>
        <v>2.1</v>
      </c>
      <c r="H254" s="14">
        <f>2.3</f>
        <v>2.2999999999999998</v>
      </c>
      <c r="I254" s="86">
        <f>11.4</f>
        <v>11.4</v>
      </c>
      <c r="J254" s="87">
        <f>data비교작업!S257*100</f>
        <v>12.248995983935746</v>
      </c>
      <c r="K254" s="85" t="e">
        <v>#N/A</v>
      </c>
    </row>
    <row r="255" spans="1:11" ht="18" customHeight="1" x14ac:dyDescent="0.25">
      <c r="A255" s="5">
        <v>36585</v>
      </c>
      <c r="B255" s="79" t="e">
        <f>NA()</f>
        <v>#N/A</v>
      </c>
      <c r="C255" s="80" t="e">
        <v>#N/A</v>
      </c>
      <c r="D255" s="14">
        <f>55.8</f>
        <v>55.8</v>
      </c>
      <c r="E255" s="14">
        <f>35.8</f>
        <v>35.799999999999997</v>
      </c>
      <c r="F255" s="14">
        <f>3</f>
        <v>3</v>
      </c>
      <c r="G255" s="14">
        <f>1.8</f>
        <v>1.8</v>
      </c>
      <c r="H255" s="14">
        <f>1.4</f>
        <v>1.4</v>
      </c>
      <c r="I255" s="86">
        <f>12.5</f>
        <v>12.5</v>
      </c>
      <c r="J255" s="87">
        <f>data비교작업!S258*100</f>
        <v>13.701431492842541</v>
      </c>
      <c r="K255" s="85" t="e">
        <v>#N/A</v>
      </c>
    </row>
    <row r="256" spans="1:11" ht="18" customHeight="1" x14ac:dyDescent="0.25">
      <c r="A256" s="5">
        <v>36556</v>
      </c>
      <c r="B256" s="79" t="e">
        <f>NA()</f>
        <v>#N/A</v>
      </c>
      <c r="C256" s="80" t="e">
        <v>#N/A</v>
      </c>
      <c r="D256" s="14">
        <f>56.7</f>
        <v>56.7</v>
      </c>
      <c r="E256" s="14">
        <f>31.4</f>
        <v>31.4</v>
      </c>
      <c r="F256" s="14">
        <f>3.1</f>
        <v>3.1</v>
      </c>
      <c r="G256" s="14">
        <f>1.9</f>
        <v>1.9</v>
      </c>
      <c r="H256" s="14">
        <f>3.2</f>
        <v>3.2</v>
      </c>
      <c r="I256" s="86">
        <f>13.7</f>
        <v>13.7</v>
      </c>
      <c r="J256" s="87">
        <f>data비교작업!S259*100</f>
        <v>15.416666666666664</v>
      </c>
      <c r="K256" s="85" t="e">
        <v>#N/A</v>
      </c>
    </row>
    <row r="257" spans="1:11" ht="18" customHeight="1" x14ac:dyDescent="0.25">
      <c r="A257" s="5">
        <v>36525</v>
      </c>
      <c r="B257" s="79" t="e">
        <f>NA()</f>
        <v>#N/A</v>
      </c>
      <c r="C257" s="80" t="e">
        <v>#N/A</v>
      </c>
      <c r="D257" s="14">
        <f>57.8</f>
        <v>57.8</v>
      </c>
      <c r="E257" s="14">
        <f>20.4</f>
        <v>20.399999999999999</v>
      </c>
      <c r="F257" s="14">
        <f>0.9</f>
        <v>0.9</v>
      </c>
      <c r="G257" s="14">
        <f>1.4</f>
        <v>1.4</v>
      </c>
      <c r="H257" s="14">
        <f>5.3</f>
        <v>5.3</v>
      </c>
      <c r="I257" s="86">
        <f>13.8</f>
        <v>13.8</v>
      </c>
      <c r="J257" s="87">
        <f>data비교작업!S260*100</f>
        <v>15.677966101694912</v>
      </c>
      <c r="K257" s="85" t="e">
        <v>#N/A</v>
      </c>
    </row>
    <row r="258" spans="1:11" ht="18" customHeight="1" x14ac:dyDescent="0.25">
      <c r="A258" s="5">
        <v>36494</v>
      </c>
      <c r="B258" s="79" t="e">
        <f>NA()</f>
        <v>#N/A</v>
      </c>
      <c r="C258" s="80" t="e">
        <v>#N/A</v>
      </c>
      <c r="D258" s="14">
        <f>58.1</f>
        <v>58.1</v>
      </c>
      <c r="E258" s="14">
        <f>21.7</f>
        <v>21.7</v>
      </c>
      <c r="F258" s="14">
        <f>0.6</f>
        <v>0.6</v>
      </c>
      <c r="G258" s="14">
        <f>1.4</f>
        <v>1.4</v>
      </c>
      <c r="H258" s="14">
        <f>6.3</f>
        <v>6.3</v>
      </c>
      <c r="I258" s="86">
        <f>15</f>
        <v>15</v>
      </c>
      <c r="J258" s="87">
        <f>data비교작업!S261*100</f>
        <v>16.989247311827953</v>
      </c>
      <c r="K258" s="85" t="e">
        <v>#N/A</v>
      </c>
    </row>
    <row r="259" spans="1:11" ht="18" customHeight="1" x14ac:dyDescent="0.25">
      <c r="A259" s="5">
        <v>36464</v>
      </c>
      <c r="B259" s="79" t="e">
        <f>NA()</f>
        <v>#N/A</v>
      </c>
      <c r="C259" s="80" t="e">
        <v>#N/A</v>
      </c>
      <c r="D259" s="14">
        <f>57.2</f>
        <v>57.2</v>
      </c>
      <c r="E259" s="14">
        <f>26.5</f>
        <v>26.5</v>
      </c>
      <c r="F259" s="14">
        <f>-0.2</f>
        <v>-0.2</v>
      </c>
      <c r="G259" s="14">
        <f>1.2</f>
        <v>1.2</v>
      </c>
      <c r="H259" s="14">
        <f>7.4</f>
        <v>7.4</v>
      </c>
      <c r="I259" s="86">
        <f>15.7</f>
        <v>15.7</v>
      </c>
      <c r="J259" s="87">
        <f>data비교작업!S262*100</f>
        <v>17.647058823529417</v>
      </c>
      <c r="K259" s="85" t="e">
        <v>#N/A</v>
      </c>
    </row>
    <row r="260" spans="1:11" ht="18" customHeight="1" x14ac:dyDescent="0.25">
      <c r="A260" s="5">
        <v>36433</v>
      </c>
      <c r="B260" s="79" t="e">
        <f>NA()</f>
        <v>#N/A</v>
      </c>
      <c r="C260" s="80" t="e">
        <v>#N/A</v>
      </c>
      <c r="D260" s="14">
        <f>57</f>
        <v>57</v>
      </c>
      <c r="E260" s="14">
        <f>11.3</f>
        <v>11.3</v>
      </c>
      <c r="F260" s="14">
        <f>-1.2</f>
        <v>-1.2</v>
      </c>
      <c r="G260" s="14">
        <f>0.8</f>
        <v>0.8</v>
      </c>
      <c r="H260" s="14">
        <f>8.4</f>
        <v>8.4</v>
      </c>
      <c r="I260" s="86">
        <f>17.1</f>
        <v>17.100000000000001</v>
      </c>
      <c r="J260" s="87">
        <f>data비교작업!S263*100</f>
        <v>18.98454746136866</v>
      </c>
      <c r="K260" s="85" t="e">
        <v>#N/A</v>
      </c>
    </row>
    <row r="261" spans="1:11" ht="18" customHeight="1" x14ac:dyDescent="0.25">
      <c r="A261" s="5">
        <v>36403</v>
      </c>
      <c r="B261" s="79" t="e">
        <f>NA()</f>
        <v>#N/A</v>
      </c>
      <c r="C261" s="80" t="e">
        <v>#N/A</v>
      </c>
      <c r="D261" s="14">
        <f>54.8</f>
        <v>54.8</v>
      </c>
      <c r="E261" s="14">
        <f>17.1</f>
        <v>17.100000000000001</v>
      </c>
      <c r="F261" s="14">
        <f>-1.6</f>
        <v>-1.6</v>
      </c>
      <c r="G261" s="14">
        <f>0.9</f>
        <v>0.9</v>
      </c>
      <c r="H261" s="14">
        <f>11</f>
        <v>11</v>
      </c>
      <c r="I261" s="86">
        <f>18</f>
        <v>18</v>
      </c>
      <c r="J261" s="87">
        <f>data비교작업!S264*100</f>
        <v>19.642857142857153</v>
      </c>
      <c r="K261" s="85" t="e">
        <v>#N/A</v>
      </c>
    </row>
    <row r="262" spans="1:11" ht="18" customHeight="1" x14ac:dyDescent="0.25">
      <c r="A262" s="5">
        <v>36372</v>
      </c>
      <c r="B262" s="79" t="e">
        <f>NA()</f>
        <v>#N/A</v>
      </c>
      <c r="C262" s="80" t="e">
        <v>#N/A</v>
      </c>
      <c r="D262" s="14">
        <f>53.6</f>
        <v>53.6</v>
      </c>
      <c r="E262" s="14">
        <f>17.2</f>
        <v>17.2</v>
      </c>
      <c r="F262" s="14">
        <f>-2.9</f>
        <v>-2.9</v>
      </c>
      <c r="G262" s="14">
        <f>0.3</f>
        <v>0.3</v>
      </c>
      <c r="H262" s="14">
        <f>13.9</f>
        <v>13.9</v>
      </c>
      <c r="I262" s="86">
        <f>18.2</f>
        <v>18.2</v>
      </c>
      <c r="J262" s="87">
        <f>data비교작업!S265*100</f>
        <v>20.135746606334838</v>
      </c>
      <c r="K262" s="85" t="e">
        <v>#N/A</v>
      </c>
    </row>
    <row r="263" spans="1:11" ht="18" customHeight="1" x14ac:dyDescent="0.25">
      <c r="A263" s="5">
        <v>36341</v>
      </c>
      <c r="B263" s="79" t="e">
        <f>NA()</f>
        <v>#N/A</v>
      </c>
      <c r="C263" s="80" t="e">
        <v>#N/A</v>
      </c>
      <c r="D263" s="14">
        <f>55.8</f>
        <v>55.8</v>
      </c>
      <c r="E263" s="14">
        <f>11.4</f>
        <v>11.4</v>
      </c>
      <c r="F263" s="14">
        <f>-3.2</f>
        <v>-3.2</v>
      </c>
      <c r="G263" s="14">
        <f>0.6</f>
        <v>0.6</v>
      </c>
      <c r="H263" s="14">
        <f>16.1</f>
        <v>16.100000000000001</v>
      </c>
      <c r="I263" s="86">
        <f>17.4</f>
        <v>17.399999999999999</v>
      </c>
      <c r="J263" s="87">
        <f>data비교작업!S266*100</f>
        <v>19.178082191780838</v>
      </c>
      <c r="K263" s="85" t="e">
        <v>#N/A</v>
      </c>
    </row>
    <row r="264" spans="1:11" ht="18" customHeight="1" x14ac:dyDescent="0.25">
      <c r="A264" s="5">
        <v>36311</v>
      </c>
      <c r="B264" s="79" t="e">
        <f>NA()</f>
        <v>#N/A</v>
      </c>
      <c r="C264" s="80" t="e">
        <v>#N/A</v>
      </c>
      <c r="D264" s="14">
        <f>54.3</f>
        <v>54.3</v>
      </c>
      <c r="E264" s="14">
        <f>1</f>
        <v>1</v>
      </c>
      <c r="F264" s="14">
        <f>-2.7</f>
        <v>-2.7</v>
      </c>
      <c r="G264" s="14">
        <f>0.8</f>
        <v>0.8</v>
      </c>
      <c r="H264" s="14">
        <f>18</f>
        <v>18</v>
      </c>
      <c r="I264" s="86">
        <f>16.1</f>
        <v>16.100000000000001</v>
      </c>
      <c r="J264" s="87">
        <f>data비교작업!S267*100</f>
        <v>17.660550458715583</v>
      </c>
      <c r="K264" s="85" t="e">
        <v>#N/A</v>
      </c>
    </row>
    <row r="265" spans="1:11" ht="18" customHeight="1" x14ac:dyDescent="0.25">
      <c r="A265" s="5">
        <v>36280</v>
      </c>
      <c r="B265" s="79" t="e">
        <f>NA()</f>
        <v>#N/A</v>
      </c>
      <c r="C265" s="80" t="e">
        <v>#N/A</v>
      </c>
      <c r="D265" s="14">
        <f>52.3</f>
        <v>52.3</v>
      </c>
      <c r="E265" s="14">
        <f>-4.7</f>
        <v>-4.7</v>
      </c>
      <c r="F265" s="14">
        <f>-4.1</f>
        <v>-4.0999999999999996</v>
      </c>
      <c r="G265" s="14">
        <f>0.4</f>
        <v>0.4</v>
      </c>
      <c r="H265" s="14">
        <f>18.6</f>
        <v>18.600000000000001</v>
      </c>
      <c r="I265" s="86">
        <f>14.7</f>
        <v>14.7</v>
      </c>
      <c r="J265" s="87">
        <f>data비교작업!S268*100</f>
        <v>16.859122401847586</v>
      </c>
      <c r="K265" s="85" t="e">
        <v>#N/A</v>
      </c>
    </row>
    <row r="266" spans="1:11" ht="18" customHeight="1" x14ac:dyDescent="0.25">
      <c r="A266" s="5">
        <v>36250</v>
      </c>
      <c r="B266" s="79" t="e">
        <f>NA()</f>
        <v>#N/A</v>
      </c>
      <c r="C266" s="80" t="e">
        <v>#N/A</v>
      </c>
      <c r="D266" s="14">
        <f>52.4</f>
        <v>52.4</v>
      </c>
      <c r="E266" s="14">
        <f>-2.9</f>
        <v>-2.9</v>
      </c>
      <c r="F266" s="14">
        <f>-4.3</f>
        <v>-4.3</v>
      </c>
      <c r="G266" s="14">
        <f>0.5</f>
        <v>0.5</v>
      </c>
      <c r="H266" s="14">
        <f>20.7</f>
        <v>20.7</v>
      </c>
      <c r="I266" s="86">
        <f>13.1</f>
        <v>13.1</v>
      </c>
      <c r="J266" s="87">
        <f>data비교작업!S269*100</f>
        <v>16.627634660421531</v>
      </c>
      <c r="K266" s="85" t="e">
        <v>#N/A</v>
      </c>
    </row>
    <row r="267" spans="1:11" ht="18" customHeight="1" x14ac:dyDescent="0.25">
      <c r="A267" s="5">
        <v>36219</v>
      </c>
      <c r="B267" s="79" t="e">
        <f>NA()</f>
        <v>#N/A</v>
      </c>
      <c r="C267" s="80" t="e">
        <v>#N/A</v>
      </c>
      <c r="D267" s="14">
        <f>51.7</f>
        <v>51.7</v>
      </c>
      <c r="E267" s="14">
        <f>-16.8</f>
        <v>-16.8</v>
      </c>
      <c r="F267" s="14">
        <f>-4.4</f>
        <v>-4.4000000000000004</v>
      </c>
      <c r="G267" s="14">
        <f>0.2</f>
        <v>0.2</v>
      </c>
      <c r="H267" s="14">
        <f>20.7</f>
        <v>20.7</v>
      </c>
      <c r="I267" s="86">
        <f>11.2</f>
        <v>11.2</v>
      </c>
      <c r="J267" s="87">
        <f>data비교작업!S270*100</f>
        <v>15.330188679245282</v>
      </c>
      <c r="K267" s="85" t="e">
        <v>#N/A</v>
      </c>
    </row>
    <row r="268" spans="1:11" ht="18" customHeight="1" x14ac:dyDescent="0.25">
      <c r="A268" s="5">
        <v>36191</v>
      </c>
      <c r="B268" s="79" t="e">
        <f>NA()</f>
        <v>#N/A</v>
      </c>
      <c r="C268" s="80" t="e">
        <v>#N/A</v>
      </c>
      <c r="D268" s="14">
        <f>50.6</f>
        <v>50.6</v>
      </c>
      <c r="E268" s="14">
        <f>2.9</f>
        <v>2.9</v>
      </c>
      <c r="F268" s="14">
        <f>-1.7</f>
        <v>-1.7</v>
      </c>
      <c r="G268" s="14">
        <f>1.5</f>
        <v>1.5</v>
      </c>
      <c r="H268" s="14">
        <f>21.3</f>
        <v>21.3</v>
      </c>
      <c r="I268" s="86">
        <f>9</f>
        <v>9</v>
      </c>
      <c r="J268" s="87">
        <f>data비교작업!S271*100</f>
        <v>11.888111888111892</v>
      </c>
      <c r="K268" s="85" t="e">
        <v>#N/A</v>
      </c>
    </row>
    <row r="269" spans="1:11" ht="18" customHeight="1" x14ac:dyDescent="0.25">
      <c r="A269" s="5">
        <v>36160</v>
      </c>
      <c r="B269" s="79" t="e">
        <f>NA()</f>
        <v>#N/A</v>
      </c>
      <c r="C269" s="80" t="e">
        <v>#N/A</v>
      </c>
      <c r="D269" s="14">
        <f>46.8</f>
        <v>46.8</v>
      </c>
      <c r="E269" s="14">
        <f>-0.1</f>
        <v>-0.1</v>
      </c>
      <c r="F269" s="14">
        <f>3.6</f>
        <v>3.6</v>
      </c>
      <c r="G269" s="14">
        <f>4</f>
        <v>4</v>
      </c>
      <c r="H269" s="14">
        <f>22.6</f>
        <v>22.6</v>
      </c>
      <c r="I269" s="86">
        <f>7.1</f>
        <v>7.1</v>
      </c>
      <c r="J269" s="87">
        <f>data비교작업!S272*100</f>
        <v>7.5170842824601474</v>
      </c>
      <c r="K269" s="85" t="e">
        <v>#N/A</v>
      </c>
    </row>
    <row r="270" spans="1:11" ht="18" customHeight="1" x14ac:dyDescent="0.25">
      <c r="A270" s="5">
        <v>36129</v>
      </c>
      <c r="B270" s="79" t="e">
        <f>NA()</f>
        <v>#N/A</v>
      </c>
      <c r="C270" s="80" t="e">
        <v>#N/A</v>
      </c>
      <c r="D270" s="14">
        <f>48.2</f>
        <v>48.2</v>
      </c>
      <c r="E270" s="14">
        <f>-1.4</f>
        <v>-1.4</v>
      </c>
      <c r="F270" s="14">
        <f>11</f>
        <v>11</v>
      </c>
      <c r="G270" s="14">
        <f>6.8</f>
        <v>6.8</v>
      </c>
      <c r="H270" s="14">
        <f>24.4</f>
        <v>24.4</v>
      </c>
      <c r="I270" s="86">
        <f>5.3</f>
        <v>5.3</v>
      </c>
      <c r="J270" s="87">
        <f>data비교작업!S273*100</f>
        <v>3.563474387527843</v>
      </c>
      <c r="K270" s="85" t="e">
        <v>#N/A</v>
      </c>
    </row>
    <row r="271" spans="1:11" ht="18" customHeight="1" x14ac:dyDescent="0.25">
      <c r="A271" s="5">
        <v>36099</v>
      </c>
      <c r="B271" s="79" t="e">
        <f>NA()</f>
        <v>#N/A</v>
      </c>
      <c r="C271" s="80" t="e">
        <v>#N/A</v>
      </c>
      <c r="D271" s="14">
        <f>48.7</f>
        <v>48.7</v>
      </c>
      <c r="E271" s="14">
        <f>-14.7</f>
        <v>-14.7</v>
      </c>
      <c r="F271" s="14">
        <f>11.7</f>
        <v>11.7</v>
      </c>
      <c r="G271" s="14">
        <f>7.2</f>
        <v>7.2</v>
      </c>
      <c r="H271" s="14">
        <f>24.9</f>
        <v>24.9</v>
      </c>
      <c r="I271" s="86">
        <f>3.9</f>
        <v>3.9</v>
      </c>
      <c r="J271" s="87">
        <f>data비교작업!S274*100</f>
        <v>1.5486725663716718</v>
      </c>
      <c r="K271" s="85" t="e">
        <v>#N/A</v>
      </c>
    </row>
    <row r="272" spans="1:11" ht="18" customHeight="1" x14ac:dyDescent="0.25">
      <c r="A272" s="5">
        <v>36068</v>
      </c>
      <c r="B272" s="79" t="e">
        <f>NA()</f>
        <v>#N/A</v>
      </c>
      <c r="C272" s="80" t="e">
        <v>#N/A</v>
      </c>
      <c r="D272" s="14">
        <f>48.7</f>
        <v>48.7</v>
      </c>
      <c r="E272" s="14">
        <f>-5.2</f>
        <v>-5.2</v>
      </c>
      <c r="F272" s="14">
        <f>11.5</f>
        <v>11.5</v>
      </c>
      <c r="G272" s="14">
        <f>6.9</f>
        <v>6.9</v>
      </c>
      <c r="H272" s="14">
        <f>24.3</f>
        <v>24.3</v>
      </c>
      <c r="I272" s="86">
        <f>2.4</f>
        <v>2.4</v>
      </c>
      <c r="J272" s="87">
        <f>data비교작업!S275*100</f>
        <v>0.22123893805308475</v>
      </c>
      <c r="K272" s="85" t="e">
        <v>#N/A</v>
      </c>
    </row>
    <row r="273" spans="1:11" ht="18" customHeight="1" x14ac:dyDescent="0.25">
      <c r="A273" s="5">
        <v>36038</v>
      </c>
      <c r="B273" s="79" t="e">
        <f>NA()</f>
        <v>#N/A</v>
      </c>
      <c r="C273" s="80" t="e">
        <v>#N/A</v>
      </c>
      <c r="D273" s="14">
        <f>49.3</f>
        <v>49.3</v>
      </c>
      <c r="E273" s="14">
        <f>-12.1</f>
        <v>-12.1</v>
      </c>
      <c r="F273" s="14">
        <f>11.7</f>
        <v>11.7</v>
      </c>
      <c r="G273" s="14">
        <f>6.9</f>
        <v>6.9</v>
      </c>
      <c r="H273" s="14">
        <f>25.1</f>
        <v>25.1</v>
      </c>
      <c r="I273" s="86">
        <f>1.1</f>
        <v>1.1000000000000001</v>
      </c>
      <c r="J273" s="87">
        <f>data비교작업!S276*100</f>
        <v>-0.66518847006652826</v>
      </c>
      <c r="K273" s="85" t="e">
        <v>#N/A</v>
      </c>
    </row>
    <row r="274" spans="1:11" ht="18" customHeight="1" x14ac:dyDescent="0.25">
      <c r="A274" s="5">
        <v>36007</v>
      </c>
      <c r="B274" s="79" t="e">
        <f>NA()</f>
        <v>#N/A</v>
      </c>
      <c r="C274" s="80" t="e">
        <v>#N/A</v>
      </c>
      <c r="D274" s="14">
        <f>49.2</f>
        <v>49.2</v>
      </c>
      <c r="E274" s="14">
        <f>-15.1</f>
        <v>-15.1</v>
      </c>
      <c r="F274" s="14">
        <f>12.7</f>
        <v>12.7</v>
      </c>
      <c r="G274" s="14">
        <f>7.3</f>
        <v>7.3</v>
      </c>
      <c r="H274" s="14">
        <f>24.1</f>
        <v>24.1</v>
      </c>
      <c r="I274" s="86">
        <f>-0.4</f>
        <v>-0.4</v>
      </c>
      <c r="J274" s="87">
        <f>data비교작업!S277*100</f>
        <v>-1.3392857142857018</v>
      </c>
      <c r="K274" s="85" t="e">
        <v>#N/A</v>
      </c>
    </row>
    <row r="275" spans="1:11" ht="18" customHeight="1" x14ac:dyDescent="0.25">
      <c r="A275" s="5">
        <v>35976</v>
      </c>
      <c r="B275" s="79" t="e">
        <f>NA()</f>
        <v>#N/A</v>
      </c>
      <c r="C275" s="80" t="e">
        <v>#N/A</v>
      </c>
      <c r="D275" s="14">
        <f>48.9</f>
        <v>48.9</v>
      </c>
      <c r="E275" s="14">
        <f>-7.1</f>
        <v>-7.1</v>
      </c>
      <c r="F275" s="14">
        <f>13.3</f>
        <v>13.3</v>
      </c>
      <c r="G275" s="14">
        <f>7.5</f>
        <v>7.5</v>
      </c>
      <c r="H275" s="14">
        <f>24.1</f>
        <v>24.1</v>
      </c>
      <c r="I275" s="86">
        <f>-1.4</f>
        <v>-1.4</v>
      </c>
      <c r="J275" s="87">
        <f>data비교작업!S278*100</f>
        <v>-1.7937219730941798</v>
      </c>
      <c r="K275" s="85" t="e">
        <v>#N/A</v>
      </c>
    </row>
    <row r="276" spans="1:11" ht="18" customHeight="1" x14ac:dyDescent="0.25">
      <c r="A276" s="5">
        <v>35946</v>
      </c>
      <c r="B276" s="79" t="e">
        <f>NA()</f>
        <v>#N/A</v>
      </c>
      <c r="C276" s="80" t="e">
        <v>#N/A</v>
      </c>
      <c r="D276" s="14">
        <f>50.9</f>
        <v>50.9</v>
      </c>
      <c r="E276" s="14">
        <f>-3.7</f>
        <v>-3.7</v>
      </c>
      <c r="F276" s="14">
        <f>13.5</f>
        <v>13.5</v>
      </c>
      <c r="G276" s="14">
        <f>8.2</f>
        <v>8.1999999999999993</v>
      </c>
      <c r="H276" s="14">
        <f>22.9</f>
        <v>22.9</v>
      </c>
      <c r="I276" s="86">
        <f>-1.7</f>
        <v>-1.7</v>
      </c>
      <c r="J276" s="87">
        <f>data비교작업!S279*100</f>
        <v>-1.5801354401805772</v>
      </c>
      <c r="K276" s="85" t="e">
        <v>#N/A</v>
      </c>
    </row>
    <row r="277" spans="1:11" ht="18" customHeight="1" x14ac:dyDescent="0.25">
      <c r="A277" s="5">
        <v>35915</v>
      </c>
      <c r="B277" s="79" t="e">
        <f>NA()</f>
        <v>#N/A</v>
      </c>
      <c r="C277" s="80" t="e">
        <v>#N/A</v>
      </c>
      <c r="D277" s="14">
        <f>52.2</f>
        <v>52.2</v>
      </c>
      <c r="E277" s="14">
        <f>5.8</f>
        <v>5.8</v>
      </c>
      <c r="F277" s="14">
        <f>14.9</f>
        <v>14.9</v>
      </c>
      <c r="G277" s="14">
        <f>8.8</f>
        <v>8.8000000000000007</v>
      </c>
      <c r="H277" s="14">
        <f>23.5</f>
        <v>23.5</v>
      </c>
      <c r="I277" s="86">
        <f>-2</f>
        <v>-2</v>
      </c>
      <c r="J277" s="87">
        <f>data비교작업!S280*100</f>
        <v>-2.0361990950226372</v>
      </c>
      <c r="K277" s="85" t="e">
        <v>#N/A</v>
      </c>
    </row>
    <row r="278" spans="1:11" ht="18" customHeight="1" x14ac:dyDescent="0.25">
      <c r="A278" s="5">
        <v>35885</v>
      </c>
      <c r="B278" s="79" t="e">
        <f>NA()</f>
        <v>#N/A</v>
      </c>
      <c r="C278" s="80" t="e">
        <v>#N/A</v>
      </c>
      <c r="D278" s="14">
        <f>52.9</f>
        <v>52.9</v>
      </c>
      <c r="E278" s="14">
        <f>6</f>
        <v>6</v>
      </c>
      <c r="F278" s="14">
        <f>15.1</f>
        <v>15.1</v>
      </c>
      <c r="G278" s="14">
        <f>9</f>
        <v>9</v>
      </c>
      <c r="H278" s="14">
        <f>22.5</f>
        <v>22.5</v>
      </c>
      <c r="I278" s="86">
        <f>-2.8</f>
        <v>-2.8</v>
      </c>
      <c r="J278" s="87">
        <f>data비교작업!S281*100</f>
        <v>-2.2883295194508007</v>
      </c>
      <c r="K278" s="85" t="e">
        <v>#N/A</v>
      </c>
    </row>
    <row r="279" spans="1:11" ht="18" customHeight="1" x14ac:dyDescent="0.25">
      <c r="A279" s="5">
        <v>35854</v>
      </c>
      <c r="B279" s="79" t="e">
        <f>NA()</f>
        <v>#N/A</v>
      </c>
      <c r="C279" s="80" t="e">
        <v>#N/A</v>
      </c>
      <c r="D279" s="14">
        <f>52.9</f>
        <v>52.9</v>
      </c>
      <c r="E279" s="14">
        <f>19.9</f>
        <v>19.899999999999999</v>
      </c>
      <c r="F279" s="14">
        <f>15.3</f>
        <v>15.3</v>
      </c>
      <c r="G279" s="14">
        <f>9.5</f>
        <v>9.5</v>
      </c>
      <c r="H279" s="14">
        <f>22.5</f>
        <v>22.5</v>
      </c>
      <c r="I279" s="86">
        <f>-3</f>
        <v>-3</v>
      </c>
      <c r="J279" s="87">
        <f>data비교작업!S282*100</f>
        <v>-2.3041474654377883</v>
      </c>
      <c r="K279" s="85" t="e">
        <v>#N/A</v>
      </c>
    </row>
    <row r="280" spans="1:11" ht="18" customHeight="1" x14ac:dyDescent="0.25">
      <c r="A280" s="5">
        <v>35826</v>
      </c>
      <c r="B280" s="79" t="e">
        <f>NA()</f>
        <v>#N/A</v>
      </c>
      <c r="C280" s="80" t="e">
        <v>#N/A</v>
      </c>
      <c r="D280" s="14">
        <f>53.8</f>
        <v>53.8</v>
      </c>
      <c r="E280" s="14">
        <f>-0.4</f>
        <v>-0.4</v>
      </c>
      <c r="F280" s="14">
        <f>12.9</f>
        <v>12.9</v>
      </c>
      <c r="G280" s="14">
        <f>8.3</f>
        <v>8.3000000000000007</v>
      </c>
      <c r="H280" s="14">
        <f>21.4</f>
        <v>21.4</v>
      </c>
      <c r="I280" s="86">
        <f>-1.5</f>
        <v>-1.5</v>
      </c>
      <c r="J280" s="87">
        <f>data비교작업!S283*100</f>
        <v>-0.46403712296984417</v>
      </c>
      <c r="K280" s="85" t="e">
        <v>#N/A</v>
      </c>
    </row>
    <row r="281" spans="1:11" ht="18" customHeight="1" x14ac:dyDescent="0.25">
      <c r="A281" s="5">
        <v>35795</v>
      </c>
      <c r="B281" s="79" t="e">
        <f>NA()</f>
        <v>#N/A</v>
      </c>
      <c r="C281" s="80" t="e">
        <v>#N/A</v>
      </c>
      <c r="D281" s="14">
        <f>54.5</f>
        <v>54.5</v>
      </c>
      <c r="E281" s="14">
        <f>1.7</f>
        <v>1.7</v>
      </c>
      <c r="F281" s="14">
        <f>9.6</f>
        <v>9.6</v>
      </c>
      <c r="G281" s="14">
        <f>6.6</f>
        <v>6.6</v>
      </c>
      <c r="H281" s="14">
        <f>20</f>
        <v>20</v>
      </c>
      <c r="I281" s="86">
        <f>1.2</f>
        <v>1.2</v>
      </c>
      <c r="J281" s="87">
        <f>data비교작업!S284*100</f>
        <v>2.0930232558139505</v>
      </c>
      <c r="K281" s="85" t="e">
        <v>#N/A</v>
      </c>
    </row>
    <row r="282" spans="1:11" ht="18" customHeight="1" x14ac:dyDescent="0.25">
      <c r="A282" s="5">
        <v>35764</v>
      </c>
      <c r="B282" s="79" t="e">
        <f>NA()</f>
        <v>#N/A</v>
      </c>
      <c r="C282" s="80" t="e">
        <v>#N/A</v>
      </c>
      <c r="D282" s="14">
        <f>55.7</f>
        <v>55.7</v>
      </c>
      <c r="E282" s="14">
        <f>3.8</f>
        <v>3.8</v>
      </c>
      <c r="F282" s="14">
        <f>3.2</f>
        <v>3.2</v>
      </c>
      <c r="G282" s="14">
        <f>4.3</f>
        <v>4.3</v>
      </c>
      <c r="H282" s="14">
        <f>18.8</f>
        <v>18.8</v>
      </c>
      <c r="I282" s="86">
        <f>3.8</f>
        <v>3.8</v>
      </c>
      <c r="J282" s="87">
        <f>data비교작업!S285*100</f>
        <v>5.3990610328638429</v>
      </c>
      <c r="K282" s="85" t="e">
        <v>#N/A</v>
      </c>
    </row>
    <row r="283" spans="1:11" ht="18" customHeight="1" x14ac:dyDescent="0.25">
      <c r="A283" s="5">
        <v>35734</v>
      </c>
      <c r="B283" s="79" t="e">
        <f>NA()</f>
        <v>#N/A</v>
      </c>
      <c r="C283" s="80" t="e">
        <v>#N/A</v>
      </c>
      <c r="D283" s="14">
        <f>56.4</f>
        <v>56.4</v>
      </c>
      <c r="E283" s="14">
        <f>5.2</f>
        <v>5.2</v>
      </c>
      <c r="F283" s="14">
        <f>2.6</f>
        <v>2.6</v>
      </c>
      <c r="G283" s="14">
        <f>4.2</f>
        <v>4.2</v>
      </c>
      <c r="H283" s="14">
        <f>18.4</f>
        <v>18.399999999999999</v>
      </c>
      <c r="I283" s="86">
        <f>4.7</f>
        <v>4.7</v>
      </c>
      <c r="J283" s="87">
        <f>data비교작업!S286*100</f>
        <v>6.1032863849765295</v>
      </c>
      <c r="K283" s="85" t="e">
        <v>#N/A</v>
      </c>
    </row>
    <row r="284" spans="1:11" ht="18" customHeight="1" x14ac:dyDescent="0.25">
      <c r="A284" s="5">
        <v>35703</v>
      </c>
      <c r="B284" s="79" t="e">
        <f>NA()</f>
        <v>#N/A</v>
      </c>
      <c r="C284" s="80" t="e">
        <v>#N/A</v>
      </c>
      <c r="D284" s="14">
        <f>53.9</f>
        <v>53.9</v>
      </c>
      <c r="E284" s="14">
        <f>13.4</f>
        <v>13.4</v>
      </c>
      <c r="F284" s="14">
        <f>2.9</f>
        <v>2.9</v>
      </c>
      <c r="G284" s="14">
        <f>4.2</f>
        <v>4.2</v>
      </c>
      <c r="H284" s="14">
        <f>18</f>
        <v>18</v>
      </c>
      <c r="I284" s="86">
        <f>5.1</f>
        <v>5.0999999999999996</v>
      </c>
      <c r="J284" s="87">
        <f>data비교작업!S287*100</f>
        <v>5.6074766355140326</v>
      </c>
      <c r="K284" s="85" t="e">
        <v>#N/A</v>
      </c>
    </row>
    <row r="285" spans="1:11" ht="18" customHeight="1" x14ac:dyDescent="0.25">
      <c r="A285" s="5">
        <v>35673</v>
      </c>
      <c r="B285" s="79" t="e">
        <f>NA()</f>
        <v>#N/A</v>
      </c>
      <c r="C285" s="80" t="e">
        <v>#N/A</v>
      </c>
      <c r="D285" s="14">
        <f>56.3</f>
        <v>56.3</v>
      </c>
      <c r="E285" s="14">
        <f>14</f>
        <v>14</v>
      </c>
      <c r="F285" s="14">
        <f>2.8</f>
        <v>2.8</v>
      </c>
      <c r="G285" s="14">
        <f>4</f>
        <v>4</v>
      </c>
      <c r="H285" s="14">
        <f>17.7</f>
        <v>17.7</v>
      </c>
      <c r="I285" s="86">
        <f>5.1</f>
        <v>5.0999999999999996</v>
      </c>
      <c r="J285" s="87">
        <f>data비교작업!S288*100</f>
        <v>4.8837209302325615</v>
      </c>
      <c r="K285" s="85" t="e">
        <v>#N/A</v>
      </c>
    </row>
    <row r="286" spans="1:11" ht="18" customHeight="1" x14ac:dyDescent="0.25">
      <c r="A286" s="5">
        <v>35642</v>
      </c>
      <c r="B286" s="79" t="e">
        <f>NA()</f>
        <v>#N/A</v>
      </c>
      <c r="C286" s="80" t="e">
        <v>#N/A</v>
      </c>
      <c r="D286" s="14">
        <f>57.7</f>
        <v>57.7</v>
      </c>
      <c r="E286" s="14">
        <f>19.3</f>
        <v>19.3</v>
      </c>
      <c r="F286" s="14">
        <f>2.7</f>
        <v>2.7</v>
      </c>
      <c r="G286" s="14">
        <f>3.7</f>
        <v>3.7</v>
      </c>
      <c r="H286" s="14">
        <f>17.3</f>
        <v>17.3</v>
      </c>
      <c r="I286" s="86">
        <f>4.5</f>
        <v>4.5</v>
      </c>
      <c r="J286" s="87">
        <f>data비교작업!S289*100</f>
        <v>4.4289044289044259</v>
      </c>
      <c r="K286" s="85" t="e">
        <v>#N/A</v>
      </c>
    </row>
    <row r="287" spans="1:11" ht="18" customHeight="1" x14ac:dyDescent="0.25">
      <c r="A287" s="5">
        <v>35611</v>
      </c>
      <c r="B287" s="79" t="e">
        <f>NA()</f>
        <v>#N/A</v>
      </c>
      <c r="C287" s="80" t="e">
        <v>#N/A</v>
      </c>
      <c r="D287" s="14">
        <f>54.9</f>
        <v>54.9</v>
      </c>
      <c r="E287" s="14">
        <f>9.6</f>
        <v>9.6</v>
      </c>
      <c r="F287" s="14">
        <f>3.4</f>
        <v>3.4</v>
      </c>
      <c r="G287" s="14">
        <f>4</f>
        <v>4</v>
      </c>
      <c r="H287" s="14">
        <f>16.9</f>
        <v>16.899999999999999</v>
      </c>
      <c r="I287" s="86">
        <f>4.2</f>
        <v>4.2</v>
      </c>
      <c r="J287" s="87">
        <f>data비교작업!S290*100</f>
        <v>4.4496487119437909</v>
      </c>
      <c r="K287" s="85" t="e">
        <v>#N/A</v>
      </c>
    </row>
    <row r="288" spans="1:11" ht="18" customHeight="1" x14ac:dyDescent="0.25">
      <c r="A288" s="5">
        <v>35581</v>
      </c>
      <c r="B288" s="79" t="e">
        <f>NA()</f>
        <v>#N/A</v>
      </c>
      <c r="C288" s="80" t="e">
        <v>#N/A</v>
      </c>
      <c r="D288" s="14">
        <f>56.1</f>
        <v>56.1</v>
      </c>
      <c r="E288" s="14">
        <f>4.5</f>
        <v>4.5</v>
      </c>
      <c r="F288" s="14">
        <f>3.7</f>
        <v>3.7</v>
      </c>
      <c r="G288" s="14">
        <f>3.8</f>
        <v>3.8</v>
      </c>
      <c r="H288" s="14">
        <f>16.9</f>
        <v>16.899999999999999</v>
      </c>
      <c r="I288" s="86">
        <f>3.6</f>
        <v>3.6</v>
      </c>
      <c r="J288" s="87">
        <f>data비교작업!S291*100</f>
        <v>3.2634032634032604</v>
      </c>
      <c r="K288" s="85" t="e">
        <v>#N/A</v>
      </c>
    </row>
    <row r="289" spans="1:11" ht="18" customHeight="1" x14ac:dyDescent="0.25">
      <c r="A289" s="5">
        <v>35550</v>
      </c>
      <c r="B289" s="79" t="e">
        <f>NA()</f>
        <v>#N/A</v>
      </c>
      <c r="C289" s="80" t="e">
        <v>#N/A</v>
      </c>
      <c r="D289" s="14">
        <f>53.7</f>
        <v>53.7</v>
      </c>
      <c r="E289" s="14">
        <f>7.1</f>
        <v>7.1</v>
      </c>
      <c r="F289" s="14">
        <f>3.6</f>
        <v>3.6</v>
      </c>
      <c r="G289" s="14">
        <f>4.3</f>
        <v>4.3</v>
      </c>
      <c r="H289" s="14">
        <f>16.8</f>
        <v>16.8</v>
      </c>
      <c r="I289" s="86">
        <f>3.3</f>
        <v>3.3</v>
      </c>
      <c r="J289" s="87">
        <f>data비교작업!S292*100</f>
        <v>3.0303030303030405</v>
      </c>
      <c r="K289" s="85" t="e">
        <v>#N/A</v>
      </c>
    </row>
    <row r="290" spans="1:11" ht="18" customHeight="1" x14ac:dyDescent="0.25">
      <c r="A290" s="5">
        <v>35520</v>
      </c>
      <c r="B290" s="79" t="e">
        <f>NA()</f>
        <v>#N/A</v>
      </c>
      <c r="C290" s="80" t="e">
        <v>#N/A</v>
      </c>
      <c r="D290" s="14">
        <f>53.8</f>
        <v>53.8</v>
      </c>
      <c r="E290" s="14">
        <f>-3.1</f>
        <v>-3.1</v>
      </c>
      <c r="F290" s="14">
        <f>3.8</f>
        <v>3.8</v>
      </c>
      <c r="G290" s="14">
        <f>4.5</f>
        <v>4.5</v>
      </c>
      <c r="H290" s="14">
        <f>18.3</f>
        <v>18.3</v>
      </c>
      <c r="I290" s="86">
        <f>2.3</f>
        <v>2.2999999999999998</v>
      </c>
      <c r="J290" s="87">
        <f>data비교작업!S293*100</f>
        <v>2.1028037383177702</v>
      </c>
      <c r="K290" s="85" t="e">
        <v>#N/A</v>
      </c>
    </row>
    <row r="291" spans="1:11" ht="18" customHeight="1" x14ac:dyDescent="0.25">
      <c r="A291" s="5">
        <v>35489</v>
      </c>
      <c r="B291" s="79" t="e">
        <f>NA()</f>
        <v>#N/A</v>
      </c>
      <c r="C291" s="80" t="e">
        <v>#N/A</v>
      </c>
      <c r="D291" s="14">
        <f>53.1</f>
        <v>53.1</v>
      </c>
      <c r="E291" s="14">
        <f>-5.3</f>
        <v>-5.3</v>
      </c>
      <c r="F291" s="14">
        <f>3.6</f>
        <v>3.6</v>
      </c>
      <c r="G291" s="14">
        <f>4.9</f>
        <v>4.9000000000000004</v>
      </c>
      <c r="H291" s="14">
        <f>18.3</f>
        <v>18.3</v>
      </c>
      <c r="I291" s="86">
        <f>1.8</f>
        <v>1.8</v>
      </c>
      <c r="J291" s="87">
        <f>data비교작업!S294*100</f>
        <v>1.8779342723004626</v>
      </c>
      <c r="K291" s="85" t="e">
        <v>#N/A</v>
      </c>
    </row>
    <row r="292" spans="1:11" ht="18" customHeight="1" x14ac:dyDescent="0.25">
      <c r="A292" s="5">
        <v>35461</v>
      </c>
      <c r="B292" s="79" t="e">
        <f>NA()</f>
        <v>#N/A</v>
      </c>
      <c r="C292" s="80" t="e">
        <v>#N/A</v>
      </c>
      <c r="D292" s="14">
        <f>53.8</f>
        <v>53.8</v>
      </c>
      <c r="E292" s="14">
        <f>-9</f>
        <v>-9</v>
      </c>
      <c r="F292" s="14">
        <f>3.5</f>
        <v>3.5</v>
      </c>
      <c r="G292" s="14">
        <f>4.7</f>
        <v>4.7</v>
      </c>
      <c r="H292" s="14">
        <f>18</f>
        <v>18</v>
      </c>
      <c r="I292" s="86">
        <f>1.2</f>
        <v>1.2</v>
      </c>
      <c r="J292" s="87">
        <f>data비교작업!S295*100</f>
        <v>1.4117647058823564</v>
      </c>
      <c r="K292" s="85" t="e">
        <v>#N/A</v>
      </c>
    </row>
    <row r="293" spans="1:11" ht="18" customHeight="1" x14ac:dyDescent="0.25">
      <c r="A293" s="5">
        <v>35430</v>
      </c>
      <c r="B293" s="79" t="e">
        <f>NA()</f>
        <v>#N/A</v>
      </c>
      <c r="C293" s="80" t="e">
        <v>#N/A</v>
      </c>
      <c r="D293" s="14">
        <f>55.2</f>
        <v>55.2</v>
      </c>
      <c r="E293" s="14">
        <f>3.9</f>
        <v>3.9</v>
      </c>
      <c r="F293" s="14">
        <f>3.6</f>
        <v>3.6</v>
      </c>
      <c r="G293" s="14">
        <f>4.9</f>
        <v>4.9000000000000004</v>
      </c>
      <c r="H293" s="14">
        <f>17.6</f>
        <v>17.600000000000001</v>
      </c>
      <c r="I293" s="86">
        <f>1.3</f>
        <v>1.3</v>
      </c>
      <c r="J293" s="87">
        <f>data비교작업!S296*100</f>
        <v>1.4150943396226447</v>
      </c>
      <c r="K293" s="85" t="e">
        <v>#N/A</v>
      </c>
    </row>
    <row r="294" spans="1:11" ht="18" customHeight="1" x14ac:dyDescent="0.25">
      <c r="A294" s="5">
        <v>35399</v>
      </c>
      <c r="B294" s="79" t="e">
        <f>NA()</f>
        <v>#N/A</v>
      </c>
      <c r="C294" s="80" t="e">
        <v>#N/A</v>
      </c>
      <c r="D294" s="14">
        <f>53</f>
        <v>53</v>
      </c>
      <c r="E294" s="14">
        <f>-0.6</f>
        <v>-0.6</v>
      </c>
      <c r="F294" s="14">
        <f>3.8</f>
        <v>3.8</v>
      </c>
      <c r="G294" s="14">
        <f>5.3</f>
        <v>5.3</v>
      </c>
      <c r="H294" s="14">
        <f>19.1</f>
        <v>19.100000000000001</v>
      </c>
      <c r="I294" s="86">
        <f>0.7</f>
        <v>0.7</v>
      </c>
      <c r="J294" s="87">
        <f>data비교작업!S297*100</f>
        <v>0.7092198581560385</v>
      </c>
      <c r="K294" s="85" t="e">
        <v>#N/A</v>
      </c>
    </row>
    <row r="295" spans="1:11" ht="18" customHeight="1" x14ac:dyDescent="0.25">
      <c r="A295" s="5">
        <v>35369</v>
      </c>
      <c r="B295" s="79" t="e">
        <f>NA()</f>
        <v>#N/A</v>
      </c>
      <c r="C295" s="80" t="e">
        <v>#N/A</v>
      </c>
      <c r="D295" s="14">
        <f>50.5</f>
        <v>50.5</v>
      </c>
      <c r="E295" s="14">
        <f>2.8</f>
        <v>2.8</v>
      </c>
      <c r="F295" s="14">
        <f>3.4</f>
        <v>3.4</v>
      </c>
      <c r="G295" s="14">
        <f>5</f>
        <v>5</v>
      </c>
      <c r="H295" s="14">
        <f>19.8</f>
        <v>19.8</v>
      </c>
      <c r="I295" s="86">
        <f>1.2</f>
        <v>1.2</v>
      </c>
      <c r="J295" s="87">
        <f>data비교작업!S298*100</f>
        <v>1.1876484560570071</v>
      </c>
      <c r="K295" s="85" t="e">
        <v>#N/A</v>
      </c>
    </row>
    <row r="296" spans="1:11" ht="18" customHeight="1" x14ac:dyDescent="0.25">
      <c r="A296" s="5">
        <v>35338</v>
      </c>
      <c r="B296" s="79" t="e">
        <f>NA()</f>
        <v>#N/A</v>
      </c>
      <c r="C296" s="80" t="e">
        <v>#N/A</v>
      </c>
      <c r="D296" s="14">
        <f>51.1</f>
        <v>51.1</v>
      </c>
      <c r="E296" s="14">
        <f>-9</f>
        <v>-9</v>
      </c>
      <c r="F296" s="14">
        <f>2.9</f>
        <v>2.9</v>
      </c>
      <c r="G296" s="14">
        <f>4.5</f>
        <v>4.5</v>
      </c>
      <c r="H296" s="14">
        <f>20.9</f>
        <v>20.9</v>
      </c>
      <c r="I296" s="86">
        <f>2</f>
        <v>2</v>
      </c>
      <c r="J296" s="87">
        <f>data비교작업!S299*100</f>
        <v>1.904761904761898</v>
      </c>
      <c r="K296" s="85" t="e">
        <v>#N/A</v>
      </c>
    </row>
    <row r="297" spans="1:11" ht="18" customHeight="1" x14ac:dyDescent="0.25">
      <c r="A297" s="5">
        <v>35308</v>
      </c>
      <c r="B297" s="79" t="e">
        <f>NA()</f>
        <v>#N/A</v>
      </c>
      <c r="C297" s="80" t="e">
        <v>#N/A</v>
      </c>
      <c r="D297" s="14">
        <f>51.6</f>
        <v>51.6</v>
      </c>
      <c r="E297" s="14">
        <f>-8.7</f>
        <v>-8.6999999999999993</v>
      </c>
      <c r="F297" s="14">
        <f>3.4</f>
        <v>3.4</v>
      </c>
      <c r="G297" s="14">
        <f>5.3</f>
        <v>5.3</v>
      </c>
      <c r="H297" s="14">
        <f>21</f>
        <v>21</v>
      </c>
      <c r="I297" s="86">
        <f>2.9</f>
        <v>2.9</v>
      </c>
      <c r="J297" s="87">
        <f>data비교작업!S300*100</f>
        <v>2.8708133971291936</v>
      </c>
      <c r="K297" s="85" t="e">
        <v>#N/A</v>
      </c>
    </row>
    <row r="298" spans="1:11" ht="18" customHeight="1" x14ac:dyDescent="0.25">
      <c r="A298" s="5">
        <v>35277</v>
      </c>
      <c r="B298" s="79" t="e">
        <f>NA()</f>
        <v>#N/A</v>
      </c>
      <c r="C298" s="80" t="e">
        <v>#N/A</v>
      </c>
      <c r="D298" s="14">
        <f>49.7</f>
        <v>49.7</v>
      </c>
      <c r="E298" s="14">
        <f>-5.6</f>
        <v>-5.6</v>
      </c>
      <c r="F298" s="14">
        <f>3.3</f>
        <v>3.3</v>
      </c>
      <c r="G298" s="14">
        <f>5.4</f>
        <v>5.4</v>
      </c>
      <c r="H298" s="14">
        <f>21.5</f>
        <v>21.5</v>
      </c>
      <c r="I298" s="86">
        <f>3.1</f>
        <v>3.1</v>
      </c>
      <c r="J298" s="87">
        <f>data비교작업!S301*100</f>
        <v>3.3734939759036111</v>
      </c>
      <c r="K298" s="85" t="e">
        <v>#N/A</v>
      </c>
    </row>
    <row r="299" spans="1:11" ht="18" customHeight="1" x14ac:dyDescent="0.25">
      <c r="A299" s="5">
        <v>35246</v>
      </c>
      <c r="B299" s="79" t="e">
        <f>NA()</f>
        <v>#N/A</v>
      </c>
      <c r="C299" s="80" t="e">
        <v>#N/A</v>
      </c>
      <c r="D299" s="14">
        <f>53.6</f>
        <v>53.6</v>
      </c>
      <c r="E299" s="14">
        <f>0.5</f>
        <v>0.5</v>
      </c>
      <c r="F299" s="14">
        <f>2.7</f>
        <v>2.7</v>
      </c>
      <c r="G299" s="14">
        <f>5.2</f>
        <v>5.2</v>
      </c>
      <c r="H299" s="14">
        <f>21.9</f>
        <v>21.9</v>
      </c>
      <c r="I299" s="86">
        <f>3.3</f>
        <v>3.3</v>
      </c>
      <c r="J299" s="87">
        <f>data비교작업!S302*100</f>
        <v>3.8929440389294441</v>
      </c>
      <c r="K299" s="85" t="e">
        <v>#N/A</v>
      </c>
    </row>
    <row r="300" spans="1:11" ht="18" customHeight="1" x14ac:dyDescent="0.25">
      <c r="A300" s="5">
        <v>35216</v>
      </c>
      <c r="B300" s="79" t="e">
        <f>NA()</f>
        <v>#N/A</v>
      </c>
      <c r="C300" s="80" t="e">
        <v>#N/A</v>
      </c>
      <c r="D300" s="14">
        <f>49.1</f>
        <v>49.1</v>
      </c>
      <c r="E300" s="14">
        <f>5.5</f>
        <v>5.5</v>
      </c>
      <c r="F300" s="14">
        <f>2.5</f>
        <v>2.5</v>
      </c>
      <c r="G300" s="14">
        <f>4.9</f>
        <v>4.9000000000000004</v>
      </c>
      <c r="H300" s="14">
        <f>22</f>
        <v>22</v>
      </c>
      <c r="I300" s="86">
        <f>4.3</f>
        <v>4.3</v>
      </c>
      <c r="J300" s="87">
        <f>data비교작업!S303*100</f>
        <v>4.8899755501222497</v>
      </c>
      <c r="K300" s="85" t="e">
        <v>#N/A</v>
      </c>
    </row>
    <row r="301" spans="1:11" ht="18" customHeight="1" x14ac:dyDescent="0.25">
      <c r="A301" s="5">
        <v>35185</v>
      </c>
      <c r="B301" s="79" t="e">
        <f>NA()</f>
        <v>#N/A</v>
      </c>
      <c r="C301" s="80" t="e">
        <v>#N/A</v>
      </c>
      <c r="D301" s="14">
        <f>49.3</f>
        <v>49.3</v>
      </c>
      <c r="E301" s="14">
        <f>4.7</f>
        <v>4.7</v>
      </c>
      <c r="F301" s="14">
        <f>2.8</f>
        <v>2.8</v>
      </c>
      <c r="G301" s="14">
        <f>4.5</f>
        <v>4.5</v>
      </c>
      <c r="H301" s="14">
        <f>22.2</f>
        <v>22.2</v>
      </c>
      <c r="I301" s="86">
        <f>4.8</f>
        <v>4.8</v>
      </c>
      <c r="J301" s="87">
        <f>data비교작업!S304*100</f>
        <v>5.1470588235294157</v>
      </c>
      <c r="K301" s="85" t="e">
        <v>#N/A</v>
      </c>
    </row>
    <row r="302" spans="1:11" ht="18" customHeight="1" x14ac:dyDescent="0.25">
      <c r="A302" s="5">
        <v>35155</v>
      </c>
      <c r="B302" s="79" t="e">
        <f>NA()</f>
        <v>#N/A</v>
      </c>
      <c r="C302" s="80" t="e">
        <v>#N/A</v>
      </c>
      <c r="D302" s="14">
        <f>46.9</f>
        <v>46.9</v>
      </c>
      <c r="E302" s="14">
        <f>16.9</f>
        <v>16.899999999999999</v>
      </c>
      <c r="F302" s="14">
        <f>2.9</f>
        <v>2.9</v>
      </c>
      <c r="G302" s="14">
        <f>4.4</f>
        <v>4.4000000000000004</v>
      </c>
      <c r="H302" s="14">
        <f>22.5</f>
        <v>22.5</v>
      </c>
      <c r="I302" s="86">
        <f>5.3</f>
        <v>5.3</v>
      </c>
      <c r="J302" s="87">
        <f>data비교작업!S305*100</f>
        <v>5.9405940594059379</v>
      </c>
      <c r="K302" s="85" t="e">
        <v>#N/A</v>
      </c>
    </row>
    <row r="303" spans="1:11" ht="18" customHeight="1" x14ac:dyDescent="0.25">
      <c r="A303" s="5">
        <v>35124</v>
      </c>
      <c r="B303" s="79" t="e">
        <f>NA()</f>
        <v>#N/A</v>
      </c>
      <c r="C303" s="80" t="e">
        <v>#N/A</v>
      </c>
      <c r="D303" s="14">
        <f>45.9</f>
        <v>45.9</v>
      </c>
      <c r="E303" s="14">
        <f>17.2</f>
        <v>17.2</v>
      </c>
      <c r="F303" s="14">
        <f>3.9</f>
        <v>3.9</v>
      </c>
      <c r="G303" s="14">
        <f>4.8</f>
        <v>4.8</v>
      </c>
      <c r="H303" s="14">
        <f>22.4</f>
        <v>22.4</v>
      </c>
      <c r="I303" s="86">
        <f>5.4</f>
        <v>5.4</v>
      </c>
      <c r="J303" s="87">
        <f>data비교작업!S306*100</f>
        <v>5.4455445544554522</v>
      </c>
      <c r="K303" s="85" t="e">
        <v>#N/A</v>
      </c>
    </row>
    <row r="304" spans="1:11" ht="18" customHeight="1" x14ac:dyDescent="0.25">
      <c r="A304" s="5">
        <v>35095</v>
      </c>
      <c r="B304" s="79" t="e">
        <f>NA()</f>
        <v>#N/A</v>
      </c>
      <c r="C304" s="80" t="e">
        <v>#N/A</v>
      </c>
      <c r="D304" s="14">
        <f>45.5</f>
        <v>45.5</v>
      </c>
      <c r="E304" s="14">
        <f>27.8</f>
        <v>27.8</v>
      </c>
      <c r="F304" s="14">
        <f>3.9</f>
        <v>3.9</v>
      </c>
      <c r="G304" s="14">
        <f>4.8</f>
        <v>4.8</v>
      </c>
      <c r="H304" s="14">
        <f>21.1</f>
        <v>21.1</v>
      </c>
      <c r="I304" s="86">
        <f>6</f>
        <v>6</v>
      </c>
      <c r="J304" s="87">
        <f>data비교작업!S307*100</f>
        <v>5.9850374064837872</v>
      </c>
      <c r="K304" s="85" t="e">
        <v>#N/A</v>
      </c>
    </row>
    <row r="305" spans="1:11" ht="18" customHeight="1" x14ac:dyDescent="0.25">
      <c r="A305" s="5">
        <v>35064</v>
      </c>
      <c r="B305" s="79" t="e">
        <f>NA()</f>
        <v>#N/A</v>
      </c>
      <c r="C305" s="80" t="e">
        <v>#N/A</v>
      </c>
      <c r="D305" s="14">
        <f>46.2</f>
        <v>46.2</v>
      </c>
      <c r="E305" s="14">
        <f>9.9</f>
        <v>9.9</v>
      </c>
      <c r="F305" s="14">
        <f>3.7</f>
        <v>3.7</v>
      </c>
      <c r="G305" s="14">
        <f>4.8</f>
        <v>4.8</v>
      </c>
      <c r="H305" s="14">
        <f>21.9</f>
        <v>21.9</v>
      </c>
      <c r="I305" s="86">
        <f>6.6</f>
        <v>6.6</v>
      </c>
      <c r="J305" s="87">
        <f>data비교작업!S308*100</f>
        <v>6.5326633165829193</v>
      </c>
      <c r="K305" s="85" t="e">
        <v>#N/A</v>
      </c>
    </row>
    <row r="306" spans="1:11" ht="18" customHeight="1" x14ac:dyDescent="0.25">
      <c r="A306" s="5">
        <v>35033</v>
      </c>
      <c r="B306" s="79" t="e">
        <f>NA()</f>
        <v>#N/A</v>
      </c>
      <c r="C306" s="80" t="e">
        <v>#N/A</v>
      </c>
      <c r="D306" s="14">
        <f>45.9</f>
        <v>45.9</v>
      </c>
      <c r="E306" s="14">
        <f>24.3</f>
        <v>24.3</v>
      </c>
      <c r="F306" s="14">
        <f>3.9</f>
        <v>3.9</v>
      </c>
      <c r="G306" s="14">
        <f>4.1</f>
        <v>4.0999999999999996</v>
      </c>
      <c r="H306" s="14">
        <f>20.6</f>
        <v>20.6</v>
      </c>
      <c r="I306" s="86">
        <f>7</f>
        <v>7</v>
      </c>
      <c r="J306" s="87">
        <f>data비교작업!S309*100</f>
        <v>7.6335877862595423</v>
      </c>
      <c r="K306" s="85" t="e">
        <v>#N/A</v>
      </c>
    </row>
    <row r="307" spans="1:11" ht="18" customHeight="1" x14ac:dyDescent="0.25">
      <c r="A307" s="5">
        <v>35003</v>
      </c>
      <c r="B307" s="79" t="e">
        <f>NA()</f>
        <v>#N/A</v>
      </c>
      <c r="C307" s="80" t="e">
        <v>#N/A</v>
      </c>
      <c r="D307" s="14">
        <f>46.7</f>
        <v>46.7</v>
      </c>
      <c r="E307" s="14">
        <f>30</f>
        <v>30</v>
      </c>
      <c r="F307" s="14">
        <f>4.3</f>
        <v>4.3</v>
      </c>
      <c r="G307" s="14">
        <f>4.5</f>
        <v>4.5</v>
      </c>
      <c r="H307" s="14">
        <f>20.5</f>
        <v>20.5</v>
      </c>
      <c r="I307" s="86">
        <f>7.1</f>
        <v>7.1</v>
      </c>
      <c r="J307" s="87">
        <f>data비교작업!S310*100</f>
        <v>7.9487179487179525</v>
      </c>
      <c r="K307" s="85" t="e">
        <v>#N/A</v>
      </c>
    </row>
    <row r="308" spans="1:11" ht="18" customHeight="1" x14ac:dyDescent="0.25">
      <c r="A308" s="5">
        <v>34972</v>
      </c>
      <c r="B308" s="79" t="e">
        <f>NA()</f>
        <v>#N/A</v>
      </c>
      <c r="C308" s="80" t="e">
        <v>#N/A</v>
      </c>
      <c r="D308" s="14">
        <f>48.1</f>
        <v>48.1</v>
      </c>
      <c r="E308" s="14">
        <f>32.2</f>
        <v>32.200000000000003</v>
      </c>
      <c r="F308" s="14">
        <f>5</f>
        <v>5</v>
      </c>
      <c r="G308" s="14">
        <f>4.7</f>
        <v>4.7</v>
      </c>
      <c r="H308" s="14">
        <f>19.3</f>
        <v>19.3</v>
      </c>
      <c r="I308" s="86">
        <f>7.5</f>
        <v>7.5</v>
      </c>
      <c r="J308" s="87">
        <f>data비교작업!S311*100</f>
        <v>8.5271317829457285</v>
      </c>
      <c r="K308" s="85" t="e">
        <v>#N/A</v>
      </c>
    </row>
    <row r="309" spans="1:11" ht="18" customHeight="1" x14ac:dyDescent="0.25">
      <c r="A309" s="5">
        <v>34942</v>
      </c>
      <c r="B309" s="79" t="e">
        <f>NA()</f>
        <v>#N/A</v>
      </c>
      <c r="C309" s="80" t="e">
        <v>#N/A</v>
      </c>
      <c r="D309" s="14">
        <f>47.1</f>
        <v>47.1</v>
      </c>
      <c r="E309" s="14">
        <f>39.6</f>
        <v>39.6</v>
      </c>
      <c r="F309" s="14">
        <f>4.3</f>
        <v>4.3</v>
      </c>
      <c r="G309" s="14">
        <f>3.4</f>
        <v>3.4</v>
      </c>
      <c r="H309" s="14">
        <f>19</f>
        <v>19</v>
      </c>
      <c r="I309" s="86">
        <f>7.7</f>
        <v>7.7</v>
      </c>
      <c r="J309" s="87">
        <f>data비교작업!S312*100</f>
        <v>8.8541666666666625</v>
      </c>
      <c r="K309" s="85" t="e">
        <v>#N/A</v>
      </c>
    </row>
    <row r="310" spans="1:11" ht="18" customHeight="1" x14ac:dyDescent="0.25">
      <c r="A310" s="5">
        <v>34911</v>
      </c>
      <c r="B310" s="79" t="e">
        <f>NA()</f>
        <v>#N/A</v>
      </c>
      <c r="C310" s="80" t="e">
        <v>#N/A</v>
      </c>
      <c r="D310" s="14">
        <f>50.7</f>
        <v>50.7</v>
      </c>
      <c r="E310" s="14">
        <f>37.8</f>
        <v>37.799999999999997</v>
      </c>
      <c r="F310" s="14">
        <f>5.3</f>
        <v>5.3</v>
      </c>
      <c r="G310" s="14">
        <f>3.6</f>
        <v>3.6</v>
      </c>
      <c r="H310" s="14">
        <f>18.8</f>
        <v>18.8</v>
      </c>
      <c r="I310" s="86">
        <f>7.7</f>
        <v>7.7</v>
      </c>
      <c r="J310" s="87">
        <f>data비교작업!S313*100</f>
        <v>8.6387434554973748</v>
      </c>
      <c r="K310" s="85" t="e">
        <v>#N/A</v>
      </c>
    </row>
    <row r="311" spans="1:11" ht="18" customHeight="1" x14ac:dyDescent="0.25">
      <c r="A311" s="5">
        <v>34880</v>
      </c>
      <c r="B311" s="79" t="e">
        <f>NA()</f>
        <v>#N/A</v>
      </c>
      <c r="C311" s="80" t="e">
        <v>#N/A</v>
      </c>
      <c r="D311" s="14">
        <f>45.9</f>
        <v>45.9</v>
      </c>
      <c r="E311" s="14">
        <f>35.4</f>
        <v>35.4</v>
      </c>
      <c r="F311" s="14">
        <f>5.5</f>
        <v>5.5</v>
      </c>
      <c r="G311" s="14">
        <f>4.2</f>
        <v>4.2</v>
      </c>
      <c r="H311" s="14">
        <f>19</f>
        <v>19</v>
      </c>
      <c r="I311" s="86">
        <f>7.3</f>
        <v>7.3</v>
      </c>
      <c r="J311" s="87">
        <f>data비교작업!S314*100</f>
        <v>8.157894736842108</v>
      </c>
      <c r="K311" s="85" t="e">
        <v>#N/A</v>
      </c>
    </row>
    <row r="312" spans="1:11" ht="18" customHeight="1" x14ac:dyDescent="0.25">
      <c r="A312" s="5">
        <v>34850</v>
      </c>
      <c r="B312" s="79" t="e">
        <f>NA()</f>
        <v>#N/A</v>
      </c>
      <c r="C312" s="80" t="e">
        <v>#N/A</v>
      </c>
      <c r="D312" s="14">
        <f>46.7</f>
        <v>46.7</v>
      </c>
      <c r="E312" s="14">
        <f>35.5</f>
        <v>35.5</v>
      </c>
      <c r="F312" s="14">
        <f>5.9</f>
        <v>5.9</v>
      </c>
      <c r="G312" s="14">
        <f>5.2</f>
        <v>5.2</v>
      </c>
      <c r="H312" s="14">
        <f>19</f>
        <v>19</v>
      </c>
      <c r="I312" s="86">
        <f>7.6</f>
        <v>7.6</v>
      </c>
      <c r="J312" s="87">
        <f>data비교작업!S315*100</f>
        <v>7.9155672823219003</v>
      </c>
      <c r="K312" s="85" t="e">
        <v>#N/A</v>
      </c>
    </row>
    <row r="313" spans="1:11" ht="18" customHeight="1" x14ac:dyDescent="0.25">
      <c r="A313" s="5">
        <v>34819</v>
      </c>
      <c r="B313" s="79" t="e">
        <f>NA()</f>
        <v>#N/A</v>
      </c>
      <c r="C313" s="80" t="e">
        <v>#N/A</v>
      </c>
      <c r="D313" s="14">
        <f>51.5</f>
        <v>51.5</v>
      </c>
      <c r="E313" s="14">
        <f>32.5</f>
        <v>32.5</v>
      </c>
      <c r="F313" s="14">
        <f>5.4</f>
        <v>5.4</v>
      </c>
      <c r="G313" s="14">
        <f>5.1</f>
        <v>5.0999999999999996</v>
      </c>
      <c r="H313" s="14">
        <f>18.6</f>
        <v>18.600000000000001</v>
      </c>
      <c r="I313" s="86">
        <f>8.2</f>
        <v>8.1999999999999993</v>
      </c>
      <c r="J313" s="87">
        <f>data비교작업!S316*100</f>
        <v>8.2228116710875163</v>
      </c>
      <c r="K313" s="85" t="e">
        <v>#N/A</v>
      </c>
    </row>
    <row r="314" spans="1:11" ht="18" customHeight="1" x14ac:dyDescent="0.25">
      <c r="A314" s="5">
        <v>34789</v>
      </c>
      <c r="B314" s="79" t="e">
        <f>NA()</f>
        <v>#N/A</v>
      </c>
      <c r="C314" s="80" t="e">
        <v>#N/A</v>
      </c>
      <c r="D314" s="14">
        <f>52.1</f>
        <v>52.1</v>
      </c>
      <c r="E314" s="14">
        <f>31.3</f>
        <v>31.3</v>
      </c>
      <c r="F314" s="14">
        <f>4.9</f>
        <v>4.9000000000000004</v>
      </c>
      <c r="G314" s="14">
        <f>4.6</f>
        <v>4.5999999999999996</v>
      </c>
      <c r="H314" s="14">
        <f>19.4</f>
        <v>19.399999999999999</v>
      </c>
      <c r="I314" s="86">
        <f>8.2</f>
        <v>8.1999999999999993</v>
      </c>
      <c r="J314" s="87">
        <f>data비교작업!S317*100</f>
        <v>7.7333333333333298</v>
      </c>
      <c r="K314" s="85" t="e">
        <v>#N/A</v>
      </c>
    </row>
    <row r="315" spans="1:11" ht="18" customHeight="1" x14ac:dyDescent="0.25">
      <c r="A315" s="5">
        <v>34758</v>
      </c>
      <c r="B315" s="79" t="e">
        <f>NA()</f>
        <v>#N/A</v>
      </c>
      <c r="C315" s="80" t="e">
        <v>#N/A</v>
      </c>
      <c r="D315" s="14">
        <f>55.1</f>
        <v>55.1</v>
      </c>
      <c r="E315" s="14">
        <f>35.9</f>
        <v>35.9</v>
      </c>
      <c r="F315" s="14">
        <f>4</f>
        <v>4</v>
      </c>
      <c r="G315" s="14">
        <f>4.5</f>
        <v>4.5</v>
      </c>
      <c r="H315" s="14">
        <f>19.4</f>
        <v>19.399999999999999</v>
      </c>
      <c r="I315" s="86">
        <f>8.9</f>
        <v>8.9</v>
      </c>
      <c r="J315" s="87">
        <f>data비교작업!S318*100</f>
        <v>8.6021505376343974</v>
      </c>
      <c r="K315" s="85" t="e">
        <v>#N/A</v>
      </c>
    </row>
    <row r="316" spans="1:11" ht="18" customHeight="1" x14ac:dyDescent="0.25">
      <c r="A316" s="5">
        <v>34730</v>
      </c>
      <c r="B316" s="79" t="e">
        <f>NA()</f>
        <v>#N/A</v>
      </c>
      <c r="C316" s="80" t="e">
        <v>#N/A</v>
      </c>
      <c r="D316" s="14">
        <f>57.4</f>
        <v>57.4</v>
      </c>
      <c r="E316" s="14">
        <f>28</f>
        <v>28</v>
      </c>
      <c r="F316" s="14">
        <f>3.9</f>
        <v>3.9</v>
      </c>
      <c r="G316" s="14">
        <f>5.2</f>
        <v>5.2</v>
      </c>
      <c r="H316" s="14">
        <f>21.9</f>
        <v>21.9</v>
      </c>
      <c r="I316" s="86">
        <f>8.8</f>
        <v>8.8000000000000007</v>
      </c>
      <c r="J316" s="87">
        <f>data비교작업!S319*100</f>
        <v>8.9673913043478386</v>
      </c>
      <c r="K316" s="85" t="e">
        <v>#N/A</v>
      </c>
    </row>
    <row r="317" spans="1:11" ht="18" customHeight="1" x14ac:dyDescent="0.25">
      <c r="A317" s="5">
        <v>34699</v>
      </c>
      <c r="B317" s="79" t="e">
        <f>NA()</f>
        <v>#N/A</v>
      </c>
      <c r="C317" s="80" t="e">
        <v>#N/A</v>
      </c>
      <c r="D317" s="14">
        <f>56.1</f>
        <v>56.1</v>
      </c>
      <c r="E317" s="14">
        <f>32.1</f>
        <v>32.1</v>
      </c>
      <c r="F317" s="14">
        <f>3.9</f>
        <v>3.9</v>
      </c>
      <c r="G317" s="14">
        <f>5.6</f>
        <v>5.6</v>
      </c>
      <c r="H317" s="14">
        <f>21.1</f>
        <v>21.1</v>
      </c>
      <c r="I317" s="86">
        <f>8.9</f>
        <v>8.9</v>
      </c>
      <c r="J317" s="87">
        <f>data비교작업!S320*100</f>
        <v>9.3406593406593359</v>
      </c>
      <c r="K317" s="85" t="e">
        <v>#N/A</v>
      </c>
    </row>
    <row r="318" spans="1:11" ht="18" customHeight="1" x14ac:dyDescent="0.25">
      <c r="A318" s="5">
        <v>34668</v>
      </c>
      <c r="B318" s="79" t="e">
        <f>NA()</f>
        <v>#N/A</v>
      </c>
      <c r="C318" s="80" t="e">
        <v>#N/A</v>
      </c>
      <c r="D318" s="14">
        <f>59.2</f>
        <v>59.2</v>
      </c>
      <c r="E318" s="14">
        <f>25.6</f>
        <v>25.6</v>
      </c>
      <c r="F318" s="14">
        <f>3.5</f>
        <v>3.5</v>
      </c>
      <c r="G318" s="14">
        <f>6.1</f>
        <v>6.1</v>
      </c>
      <c r="H318" s="14">
        <f>21.2</f>
        <v>21.2</v>
      </c>
      <c r="I318" s="86">
        <f>8.5</f>
        <v>8.5</v>
      </c>
      <c r="J318" s="87">
        <f>data비교작업!S321*100</f>
        <v>9.4707520891364858</v>
      </c>
      <c r="K318" s="85" t="e">
        <v>#N/A</v>
      </c>
    </row>
    <row r="319" spans="1:11" ht="18" customHeight="1" x14ac:dyDescent="0.25">
      <c r="A319" s="5">
        <v>34638</v>
      </c>
      <c r="B319" s="79" t="e">
        <f>NA()</f>
        <v>#N/A</v>
      </c>
      <c r="C319" s="80" t="e">
        <v>#N/A</v>
      </c>
      <c r="D319" s="14">
        <f>59.4</f>
        <v>59.4</v>
      </c>
      <c r="E319" s="14">
        <f>18.5</f>
        <v>18.5</v>
      </c>
      <c r="F319" s="14">
        <f>3.5</f>
        <v>3.5</v>
      </c>
      <c r="G319" s="14">
        <f>5.8</f>
        <v>5.8</v>
      </c>
      <c r="H319" s="14">
        <f>20</f>
        <v>20</v>
      </c>
      <c r="I319" s="86">
        <f>8.5</f>
        <v>8.5</v>
      </c>
      <c r="J319" s="87">
        <f>data비교작업!S322*100</f>
        <v>9.8591549295774641</v>
      </c>
      <c r="K319" s="85" t="e">
        <v>#N/A</v>
      </c>
    </row>
    <row r="320" spans="1:11" ht="18" customHeight="1" x14ac:dyDescent="0.25">
      <c r="A320" s="5">
        <v>34607</v>
      </c>
      <c r="B320" s="79" t="e">
        <f>NA()</f>
        <v>#N/A</v>
      </c>
      <c r="C320" s="80" t="e">
        <v>#N/A</v>
      </c>
      <c r="D320" s="14">
        <f>59</f>
        <v>59</v>
      </c>
      <c r="E320" s="14">
        <f>15.5</f>
        <v>15.5</v>
      </c>
      <c r="F320" s="14">
        <f>3</f>
        <v>3</v>
      </c>
      <c r="G320" s="14">
        <f>6.5</f>
        <v>6.5</v>
      </c>
      <c r="H320" s="14">
        <f>20.6</f>
        <v>20.6</v>
      </c>
      <c r="I320" s="86">
        <f>8.4</f>
        <v>8.4</v>
      </c>
      <c r="J320" s="87">
        <f>data비교작업!S323*100</f>
        <v>10.256410256410261</v>
      </c>
      <c r="K320" s="85" t="e">
        <v>#N/A</v>
      </c>
    </row>
    <row r="321" spans="1:11" ht="18" customHeight="1" x14ac:dyDescent="0.25">
      <c r="A321" s="5">
        <v>34577</v>
      </c>
      <c r="B321" s="79" t="e">
        <f>NA()</f>
        <v>#N/A</v>
      </c>
      <c r="C321" s="80" t="e">
        <v>#N/A</v>
      </c>
      <c r="D321" s="14">
        <f>58</f>
        <v>58</v>
      </c>
      <c r="E321" s="14">
        <f>16.2</f>
        <v>16.2</v>
      </c>
      <c r="F321" s="14">
        <f>3.2</f>
        <v>3.2</v>
      </c>
      <c r="G321" s="14">
        <f>7.4</f>
        <v>7.4</v>
      </c>
      <c r="H321" s="14">
        <f>20.5</f>
        <v>20.5</v>
      </c>
      <c r="I321" s="86">
        <f>8.4</f>
        <v>8.4</v>
      </c>
      <c r="J321" s="87">
        <f>data비교작업!S324*100</f>
        <v>9.4017094017093932</v>
      </c>
      <c r="K321" s="85" t="e">
        <v>#N/A</v>
      </c>
    </row>
    <row r="322" spans="1:11" ht="18" customHeight="1" x14ac:dyDescent="0.25">
      <c r="A322" s="5">
        <v>34546</v>
      </c>
      <c r="B322" s="79" t="e">
        <f>NA()</f>
        <v>#N/A</v>
      </c>
      <c r="C322" s="80" t="e">
        <v>#N/A</v>
      </c>
      <c r="D322" s="14">
        <f>58.5</f>
        <v>58.5</v>
      </c>
      <c r="E322" s="14">
        <f>14.2</f>
        <v>14.2</v>
      </c>
      <c r="F322" s="14">
        <f>2.4</f>
        <v>2.4</v>
      </c>
      <c r="G322" s="14">
        <f>6.9</f>
        <v>6.9</v>
      </c>
      <c r="H322" s="14">
        <f>20.8</f>
        <v>20.8</v>
      </c>
      <c r="I322" s="86">
        <f>8.7</f>
        <v>8.6999999999999993</v>
      </c>
      <c r="J322" s="87">
        <f>data비교작업!S325*100</f>
        <v>9.4555873925501555</v>
      </c>
      <c r="K322" s="85" t="e">
        <v>#N/A</v>
      </c>
    </row>
    <row r="323" spans="1:11" ht="18" customHeight="1" x14ac:dyDescent="0.25">
      <c r="A323" s="5">
        <v>34515</v>
      </c>
      <c r="B323" s="79" t="e">
        <f>NA()</f>
        <v>#N/A</v>
      </c>
      <c r="C323" s="80" t="e">
        <v>#N/A</v>
      </c>
      <c r="D323" s="14">
        <f>58.8</f>
        <v>58.8</v>
      </c>
      <c r="E323" s="14">
        <f>14.6</f>
        <v>14.6</v>
      </c>
      <c r="F323" s="14">
        <f>2</f>
        <v>2</v>
      </c>
      <c r="G323" s="14">
        <f>5.9</f>
        <v>5.9</v>
      </c>
      <c r="H323" s="14">
        <f>20</f>
        <v>20</v>
      </c>
      <c r="I323" s="86">
        <f>9.1</f>
        <v>9.1</v>
      </c>
      <c r="J323" s="87">
        <f>data비교작업!S326*100</f>
        <v>9.5100864553314022</v>
      </c>
      <c r="K323" s="85" t="e">
        <v>#N/A</v>
      </c>
    </row>
    <row r="324" spans="1:11" ht="18" customHeight="1" x14ac:dyDescent="0.25">
      <c r="A324" s="5">
        <v>34485</v>
      </c>
      <c r="B324" s="79" t="e">
        <f>NA()</f>
        <v>#N/A</v>
      </c>
      <c r="C324" s="80" t="e">
        <v>#N/A</v>
      </c>
      <c r="D324" s="14">
        <f>58.2</f>
        <v>58.2</v>
      </c>
      <c r="E324" s="14">
        <f>16.5</f>
        <v>16.5</v>
      </c>
      <c r="F324" s="14">
        <f>1.7</f>
        <v>1.7</v>
      </c>
      <c r="G324" s="14">
        <f>5.7</f>
        <v>5.7</v>
      </c>
      <c r="H324" s="14">
        <f>20.2</f>
        <v>20.2</v>
      </c>
      <c r="I324" s="86">
        <f>9.4</f>
        <v>9.4</v>
      </c>
      <c r="J324" s="87">
        <f>data비교작업!S327*100</f>
        <v>10.174418604651162</v>
      </c>
      <c r="K324" s="85" t="e">
        <v>#N/A</v>
      </c>
    </row>
    <row r="325" spans="1:11" ht="18" customHeight="1" x14ac:dyDescent="0.25">
      <c r="A325" s="5">
        <v>34454</v>
      </c>
      <c r="B325" s="79" t="e">
        <f>NA()</f>
        <v>#N/A</v>
      </c>
      <c r="C325" s="80" t="e">
        <v>#N/A</v>
      </c>
      <c r="D325" s="14">
        <f>57.4</f>
        <v>57.4</v>
      </c>
      <c r="E325" s="14">
        <f>13.6</f>
        <v>13.6</v>
      </c>
      <c r="F325" s="14">
        <f>1.9</f>
        <v>1.9</v>
      </c>
      <c r="G325" s="14">
        <f>5.9</f>
        <v>5.9</v>
      </c>
      <c r="H325" s="14">
        <f>20.7</f>
        <v>20.7</v>
      </c>
      <c r="I325" s="86">
        <f>9.7</f>
        <v>9.6999999999999993</v>
      </c>
      <c r="J325" s="87">
        <f>data비교작업!S328*100</f>
        <v>10.23391812865497</v>
      </c>
      <c r="K325" s="85" t="e">
        <v>#N/A</v>
      </c>
    </row>
    <row r="326" spans="1:11" ht="18" customHeight="1" x14ac:dyDescent="0.25">
      <c r="A326" s="5">
        <v>34424</v>
      </c>
      <c r="B326" s="79" t="e">
        <f>NA()</f>
        <v>#N/A</v>
      </c>
      <c r="C326" s="80" t="e">
        <v>#N/A</v>
      </c>
      <c r="D326" s="14">
        <f>56.9</f>
        <v>56.9</v>
      </c>
      <c r="E326" s="14">
        <f>10.1</f>
        <v>10.1</v>
      </c>
      <c r="F326" s="14">
        <f>2.1</f>
        <v>2.1</v>
      </c>
      <c r="G326" s="14">
        <f>6.4</f>
        <v>6.4</v>
      </c>
      <c r="H326" s="14">
        <f>18.4</f>
        <v>18.399999999999999</v>
      </c>
      <c r="I326" s="86">
        <f>9.9</f>
        <v>9.9</v>
      </c>
      <c r="J326" s="87">
        <f>data비교작업!S329*100</f>
        <v>10.294117647058822</v>
      </c>
      <c r="K326" s="85" t="e">
        <v>#N/A</v>
      </c>
    </row>
    <row r="327" spans="1:11" ht="18" customHeight="1" x14ac:dyDescent="0.25">
      <c r="A327" s="5">
        <v>34393</v>
      </c>
      <c r="B327" s="79" t="e">
        <f>NA()</f>
        <v>#N/A</v>
      </c>
      <c r="C327" s="80" t="e">
        <v>#N/A</v>
      </c>
      <c r="D327" s="14">
        <f>56.5</f>
        <v>56.5</v>
      </c>
      <c r="E327" s="14">
        <f>4.5</f>
        <v>4.5</v>
      </c>
      <c r="F327" s="14">
        <f>2.9</f>
        <v>2.9</v>
      </c>
      <c r="G327" s="14">
        <f>6.8</f>
        <v>6.8</v>
      </c>
      <c r="H327" s="14">
        <f>18.4</f>
        <v>18.399999999999999</v>
      </c>
      <c r="I327" s="86">
        <f>9.6</f>
        <v>9.6</v>
      </c>
      <c r="J327" s="87">
        <f>data비교작업!S330*100</f>
        <v>10.059171597633155</v>
      </c>
      <c r="K327" s="85" t="e">
        <v>#N/A</v>
      </c>
    </row>
    <row r="328" spans="1:11" ht="18" customHeight="1" x14ac:dyDescent="0.25">
      <c r="A328" s="5">
        <v>34365</v>
      </c>
      <c r="B328" s="79" t="e">
        <f>NA()</f>
        <v>#N/A</v>
      </c>
      <c r="C328" s="80" t="e">
        <v>#N/A</v>
      </c>
      <c r="D328" s="14">
        <f>56</f>
        <v>56</v>
      </c>
      <c r="E328" s="14">
        <f>13.9</f>
        <v>13.9</v>
      </c>
      <c r="F328" s="14">
        <f>2.6</f>
        <v>2.6</v>
      </c>
      <c r="G328" s="14">
        <f>6.4</f>
        <v>6.4</v>
      </c>
      <c r="H328" s="14">
        <f>17.5</f>
        <v>17.5</v>
      </c>
      <c r="I328" s="86">
        <f>9.1</f>
        <v>9.1</v>
      </c>
      <c r="J328" s="87">
        <f>data비교작업!S331*100</f>
        <v>9.1988130563798034</v>
      </c>
      <c r="K328" s="85" t="e">
        <v>#N/A</v>
      </c>
    </row>
    <row r="329" spans="1:11" ht="18" customHeight="1" x14ac:dyDescent="0.25">
      <c r="A329" s="5">
        <v>34334</v>
      </c>
      <c r="B329" s="79" t="e">
        <f>NA()</f>
        <v>#N/A</v>
      </c>
      <c r="C329" s="80" t="e">
        <v>#N/A</v>
      </c>
      <c r="D329" s="14">
        <f>55.6</f>
        <v>55.6</v>
      </c>
      <c r="E329" s="14">
        <f>15.6</f>
        <v>15.6</v>
      </c>
      <c r="F329" s="14">
        <f>2</f>
        <v>2</v>
      </c>
      <c r="G329" s="14">
        <f>5.8</f>
        <v>5.8</v>
      </c>
      <c r="H329" s="14">
        <f>19.3</f>
        <v>19.3</v>
      </c>
      <c r="I329" s="86">
        <f>8.6</f>
        <v>8.6</v>
      </c>
      <c r="J329" s="87">
        <f>data비교작업!S332*100</f>
        <v>8.9820359281437128</v>
      </c>
      <c r="K329" s="85" t="e">
        <v>#N/A</v>
      </c>
    </row>
    <row r="330" spans="1:11" ht="18" customHeight="1" x14ac:dyDescent="0.25">
      <c r="A330" s="5">
        <v>34303</v>
      </c>
      <c r="B330" s="79" t="e">
        <f>NA()</f>
        <v>#N/A</v>
      </c>
      <c r="C330" s="80" t="e">
        <v>#N/A</v>
      </c>
      <c r="D330" s="14">
        <f>53.8</f>
        <v>53.8</v>
      </c>
      <c r="E330" s="14">
        <f>10.8</f>
        <v>10.8</v>
      </c>
      <c r="F330" s="14">
        <f>1.8</f>
        <v>1.8</v>
      </c>
      <c r="G330" s="14">
        <f>5.5</f>
        <v>5.5</v>
      </c>
      <c r="H330" s="14">
        <f>19.5</f>
        <v>19.5</v>
      </c>
      <c r="I330" s="86">
        <f>7.9</f>
        <v>7.9</v>
      </c>
      <c r="J330" s="87">
        <f>data비교작업!S333*100</f>
        <v>8.7878787878787836</v>
      </c>
      <c r="K330" s="85" t="e">
        <v>#N/A</v>
      </c>
    </row>
    <row r="331" spans="1:11" ht="18" customHeight="1" x14ac:dyDescent="0.25">
      <c r="A331" s="5">
        <v>34273</v>
      </c>
      <c r="B331" s="79" t="e">
        <f>NA()</f>
        <v>#N/A</v>
      </c>
      <c r="C331" s="80" t="e">
        <v>#N/A</v>
      </c>
      <c r="D331" s="14">
        <f>53.4</f>
        <v>53.4</v>
      </c>
      <c r="E331" s="14">
        <f>5</f>
        <v>5</v>
      </c>
      <c r="F331" s="14">
        <f>1.6</f>
        <v>1.6</v>
      </c>
      <c r="G331" s="14">
        <f>5.1</f>
        <v>5.0999999999999996</v>
      </c>
      <c r="H331" s="14">
        <f>21</f>
        <v>21</v>
      </c>
      <c r="I331" s="86">
        <f>7.3</f>
        <v>7.3</v>
      </c>
      <c r="J331" s="87">
        <f>data비교작업!S334*100</f>
        <v>8.5626911314984628</v>
      </c>
      <c r="K331" s="85" t="e">
        <v>#N/A</v>
      </c>
    </row>
    <row r="332" spans="1:11" ht="18" customHeight="1" x14ac:dyDescent="0.25">
      <c r="A332" s="5">
        <v>34242</v>
      </c>
      <c r="B332" s="79" t="e">
        <f>NA()</f>
        <v>#N/A</v>
      </c>
      <c r="C332" s="80" t="e">
        <v>#N/A</v>
      </c>
      <c r="D332" s="14">
        <f>50.8</f>
        <v>50.8</v>
      </c>
      <c r="E332" s="14">
        <f>8.5</f>
        <v>8.5</v>
      </c>
      <c r="F332" s="14">
        <f>1.6</f>
        <v>1.6</v>
      </c>
      <c r="G332" s="14">
        <f>4.6</f>
        <v>4.5999999999999996</v>
      </c>
      <c r="H332" s="14">
        <f>22.9</f>
        <v>22.9</v>
      </c>
      <c r="I332" s="86">
        <f>6.9</f>
        <v>6.9</v>
      </c>
      <c r="J332" s="87">
        <f>data비교작업!S335*100</f>
        <v>8.0000000000000036</v>
      </c>
      <c r="K332" s="85" t="e">
        <v>#N/A</v>
      </c>
    </row>
    <row r="333" spans="1:11" ht="18" customHeight="1" x14ac:dyDescent="0.25">
      <c r="A333" s="5">
        <v>34212</v>
      </c>
      <c r="B333" s="79" t="e">
        <f>NA()</f>
        <v>#N/A</v>
      </c>
      <c r="C333" s="80" t="e">
        <v>#N/A</v>
      </c>
      <c r="D333" s="14">
        <f>50.7</f>
        <v>50.7</v>
      </c>
      <c r="E333" s="14">
        <f>6</f>
        <v>6</v>
      </c>
      <c r="F333" s="14">
        <f>0.9</f>
        <v>0.9</v>
      </c>
      <c r="G333" s="14">
        <f>4.4</f>
        <v>4.4000000000000004</v>
      </c>
      <c r="H333" s="14">
        <f>22.5</f>
        <v>22.5</v>
      </c>
      <c r="I333" s="86">
        <f>7.3</f>
        <v>7.3</v>
      </c>
      <c r="J333" s="87">
        <f>data비교작업!S336*100</f>
        <v>8.3333333333333428</v>
      </c>
      <c r="K333" s="85" t="e">
        <v>#N/A</v>
      </c>
    </row>
    <row r="334" spans="1:11" ht="18" customHeight="1" x14ac:dyDescent="0.25">
      <c r="A334" s="5">
        <v>34181</v>
      </c>
      <c r="B334" s="79" t="e">
        <f>NA()</f>
        <v>#N/A</v>
      </c>
      <c r="C334" s="80" t="e">
        <v>#N/A</v>
      </c>
      <c r="D334" s="14">
        <f>50.2</f>
        <v>50.2</v>
      </c>
      <c r="E334" s="14">
        <f>4.9</f>
        <v>4.9000000000000004</v>
      </c>
      <c r="F334" s="14">
        <f>0.7</f>
        <v>0.7</v>
      </c>
      <c r="G334" s="14">
        <f>4.3</f>
        <v>4.3</v>
      </c>
      <c r="H334" s="14">
        <f>22.1</f>
        <v>22.1</v>
      </c>
      <c r="I334" s="86">
        <f>7.4</f>
        <v>7.4</v>
      </c>
      <c r="J334" s="87">
        <f>data비교작업!S337*100</f>
        <v>7.7160493827160508</v>
      </c>
      <c r="K334" s="85" t="e">
        <v>#N/A</v>
      </c>
    </row>
    <row r="335" spans="1:11" ht="18" customHeight="1" x14ac:dyDescent="0.25">
      <c r="A335" s="5">
        <v>34150</v>
      </c>
      <c r="B335" s="79" t="e">
        <f>NA()</f>
        <v>#N/A</v>
      </c>
      <c r="C335" s="80" t="e">
        <v>#N/A</v>
      </c>
      <c r="D335" s="14">
        <f>49.6</f>
        <v>49.6</v>
      </c>
      <c r="E335" s="14">
        <f>2.8</f>
        <v>2.8</v>
      </c>
      <c r="F335" s="14">
        <f>1.4</f>
        <v>1.4</v>
      </c>
      <c r="G335" s="14">
        <f>4.8</f>
        <v>4.8</v>
      </c>
      <c r="H335" s="14">
        <f>22.6</f>
        <v>22.6</v>
      </c>
      <c r="I335" s="86">
        <f>7.6</f>
        <v>7.6</v>
      </c>
      <c r="J335" s="87">
        <f>data비교작업!S338*100</f>
        <v>7.7639751552795024</v>
      </c>
      <c r="K335" s="85" t="e">
        <v>#N/A</v>
      </c>
    </row>
    <row r="336" spans="1:11" ht="18" customHeight="1" x14ac:dyDescent="0.25">
      <c r="A336" s="5">
        <v>34120</v>
      </c>
      <c r="B336" s="79" t="e">
        <f>NA()</f>
        <v>#N/A</v>
      </c>
      <c r="C336" s="80" t="e">
        <v>#N/A</v>
      </c>
      <c r="D336" s="14">
        <f>51.2</f>
        <v>51.2</v>
      </c>
      <c r="E336" s="14">
        <f>6.4</f>
        <v>6.4</v>
      </c>
      <c r="F336" s="14">
        <f>1.7</f>
        <v>1.7</v>
      </c>
      <c r="G336" s="14">
        <f>4.5</f>
        <v>4.5</v>
      </c>
      <c r="H336" s="14">
        <f>21.4</f>
        <v>21.4</v>
      </c>
      <c r="I336" s="86">
        <f>7.2</f>
        <v>7.2</v>
      </c>
      <c r="J336" s="87">
        <f>data비교작업!S339*100</f>
        <v>7.4999999999999956</v>
      </c>
      <c r="K336" s="85" t="e">
        <v>#N/A</v>
      </c>
    </row>
    <row r="337" spans="1:11" ht="18" customHeight="1" x14ac:dyDescent="0.25">
      <c r="A337" s="5">
        <v>34089</v>
      </c>
      <c r="B337" s="79" t="e">
        <f>NA()</f>
        <v>#N/A</v>
      </c>
      <c r="C337" s="80" t="e">
        <v>#N/A</v>
      </c>
      <c r="D337" s="14">
        <f>50.2</f>
        <v>50.2</v>
      </c>
      <c r="E337" s="14">
        <f>6.1</f>
        <v>6.1</v>
      </c>
      <c r="F337" s="14">
        <f>1.9</f>
        <v>1.9</v>
      </c>
      <c r="G337" s="14">
        <f>4.8</f>
        <v>4.8</v>
      </c>
      <c r="H337" s="14">
        <f>21.3</f>
        <v>21.3</v>
      </c>
      <c r="I337" s="86">
        <f>7.2</f>
        <v>7.2</v>
      </c>
      <c r="J337" s="87">
        <f>data비교작업!S340*100</f>
        <v>7.547169811320761</v>
      </c>
      <c r="K337" s="85" t="e">
        <v>#N/A</v>
      </c>
    </row>
    <row r="338" spans="1:11" ht="18" customHeight="1" x14ac:dyDescent="0.25">
      <c r="A338" s="5">
        <v>34059</v>
      </c>
      <c r="B338" s="79" t="e">
        <f>NA()</f>
        <v>#N/A</v>
      </c>
      <c r="C338" s="80" t="e">
        <v>#N/A</v>
      </c>
      <c r="D338" s="14">
        <f>53.5</f>
        <v>53.5</v>
      </c>
      <c r="E338" s="14">
        <f>7.6</f>
        <v>7.6</v>
      </c>
      <c r="F338" s="14">
        <f>1.7</f>
        <v>1.7</v>
      </c>
      <c r="G338" s="14">
        <f>4.8</f>
        <v>4.8</v>
      </c>
      <c r="H338" s="14">
        <f>22.2</f>
        <v>22.2</v>
      </c>
      <c r="I338" s="86">
        <f>7</f>
        <v>7</v>
      </c>
      <c r="J338" s="87">
        <f>data비교작업!S341*100</f>
        <v>7.5949367088607538</v>
      </c>
      <c r="K338" s="85" t="e">
        <v>#N/A</v>
      </c>
    </row>
    <row r="339" spans="1:11" ht="18" customHeight="1" x14ac:dyDescent="0.25">
      <c r="A339" s="5">
        <v>34028</v>
      </c>
      <c r="B339" s="79" t="e">
        <f>NA()</f>
        <v>#N/A</v>
      </c>
      <c r="C339" s="80" t="e">
        <v>#N/A</v>
      </c>
      <c r="D339" s="14">
        <f>55.2</f>
        <v>55.2</v>
      </c>
      <c r="E339" s="14">
        <f>15.4</f>
        <v>15.4</v>
      </c>
      <c r="F339" s="14">
        <f>1.5</f>
        <v>1.5</v>
      </c>
      <c r="G339" s="14">
        <f>4.6</f>
        <v>4.5999999999999996</v>
      </c>
      <c r="H339" s="14">
        <f>22.2</f>
        <v>22.2</v>
      </c>
      <c r="I339" s="86">
        <f>6.9</f>
        <v>6.9</v>
      </c>
      <c r="J339" s="87">
        <f>data비교작업!S342*100</f>
        <v>7.6433121019108237</v>
      </c>
      <c r="K339" s="85" t="e">
        <v>#N/A</v>
      </c>
    </row>
    <row r="340" spans="1:11" ht="18" customHeight="1" x14ac:dyDescent="0.25">
      <c r="A340" s="5">
        <v>34000</v>
      </c>
      <c r="B340" s="79" t="e">
        <f>NA()</f>
        <v>#N/A</v>
      </c>
      <c r="C340" s="80" t="e">
        <v>#N/A</v>
      </c>
      <c r="D340" s="14">
        <f>55.8</f>
        <v>55.8</v>
      </c>
      <c r="E340" s="14">
        <f>-1.2</f>
        <v>-1.2</v>
      </c>
      <c r="F340" s="14">
        <f>1.6</f>
        <v>1.6</v>
      </c>
      <c r="G340" s="14">
        <f>4.5</f>
        <v>4.5</v>
      </c>
      <c r="H340" s="14">
        <f>22</f>
        <v>22</v>
      </c>
      <c r="I340" s="86">
        <f>7.1</f>
        <v>7.1</v>
      </c>
      <c r="J340" s="87">
        <f>data비교작업!S343*100</f>
        <v>8.0128205128205252</v>
      </c>
      <c r="K340" s="85" t="e">
        <v>#N/A</v>
      </c>
    </row>
    <row r="341" spans="1:11" ht="18" customHeight="1" x14ac:dyDescent="0.25">
      <c r="A341" s="5">
        <v>33969</v>
      </c>
      <c r="B341" s="79" t="e">
        <f>NA()</f>
        <v>#N/A</v>
      </c>
      <c r="C341" s="80" t="e">
        <v>#N/A</v>
      </c>
      <c r="D341" s="14">
        <f>54.2</f>
        <v>54.2</v>
      </c>
      <c r="E341" s="14">
        <f>-9</f>
        <v>-9</v>
      </c>
      <c r="F341" s="14">
        <f>1.6</f>
        <v>1.6</v>
      </c>
      <c r="G341" s="14">
        <f>4.5</f>
        <v>4.5</v>
      </c>
      <c r="H341" s="14">
        <f>21.7</f>
        <v>21.7</v>
      </c>
      <c r="I341" s="86">
        <f>6.7</f>
        <v>6.7</v>
      </c>
      <c r="J341" s="87">
        <f>data비교작업!S344*100</f>
        <v>7.3954983922829483</v>
      </c>
      <c r="K341" s="85" t="e">
        <v>#N/A</v>
      </c>
    </row>
    <row r="342" spans="1:11" ht="18" customHeight="1" x14ac:dyDescent="0.25">
      <c r="A342" s="5">
        <v>33938</v>
      </c>
      <c r="B342" s="79" t="e">
        <f>NA()</f>
        <v>#N/A</v>
      </c>
      <c r="C342" s="80" t="e">
        <v>#N/A</v>
      </c>
      <c r="D342" s="14">
        <f>53.6</f>
        <v>53.6</v>
      </c>
      <c r="E342" s="14">
        <f>-0.7</f>
        <v>-0.7</v>
      </c>
      <c r="F342" s="14">
        <f>1.8</f>
        <v>1.8</v>
      </c>
      <c r="G342" s="14">
        <f>4.4</f>
        <v>4.4000000000000004</v>
      </c>
      <c r="H342" s="14">
        <f>21.2</f>
        <v>21.2</v>
      </c>
      <c r="I342" s="86">
        <f>6.3</f>
        <v>6.3</v>
      </c>
      <c r="J342" s="87">
        <f>data비교작업!S345*100</f>
        <v>6.4516129032258061</v>
      </c>
      <c r="K342" s="85" t="e">
        <v>#N/A</v>
      </c>
    </row>
    <row r="343" spans="1:11" ht="18" customHeight="1" x14ac:dyDescent="0.25">
      <c r="A343" s="5">
        <v>33908</v>
      </c>
      <c r="B343" s="79" t="e">
        <f>NA()</f>
        <v>#N/A</v>
      </c>
      <c r="C343" s="80" t="e">
        <v>#N/A</v>
      </c>
      <c r="D343" s="14">
        <f>50.3</f>
        <v>50.3</v>
      </c>
      <c r="E343" s="14">
        <f>7.4</f>
        <v>7.4</v>
      </c>
      <c r="F343" s="14">
        <f>2</f>
        <v>2</v>
      </c>
      <c r="G343" s="14">
        <f>5.4</f>
        <v>5.4</v>
      </c>
      <c r="H343" s="14">
        <f>19.9</f>
        <v>19.899999999999999</v>
      </c>
      <c r="I343" s="86">
        <f>5.7</f>
        <v>5.7</v>
      </c>
      <c r="J343" s="87">
        <f>data비교작업!S346*100</f>
        <v>6.1688311688311757</v>
      </c>
      <c r="K343" s="85" t="e">
        <v>#N/A</v>
      </c>
    </row>
    <row r="344" spans="1:11" ht="18" customHeight="1" x14ac:dyDescent="0.25">
      <c r="A344" s="5">
        <v>33877</v>
      </c>
      <c r="B344" s="79" t="e">
        <f>NA()</f>
        <v>#N/A</v>
      </c>
      <c r="C344" s="80" t="e">
        <v>#N/A</v>
      </c>
      <c r="D344" s="14">
        <f>49.7</f>
        <v>49.7</v>
      </c>
      <c r="E344" s="14">
        <f>16.6</f>
        <v>16.600000000000001</v>
      </c>
      <c r="F344" s="14">
        <f>2.4</f>
        <v>2.4</v>
      </c>
      <c r="G344" s="14">
        <f>5.7</f>
        <v>5.7</v>
      </c>
      <c r="H344" s="14">
        <f>19.3</f>
        <v>19.3</v>
      </c>
      <c r="I344" s="86">
        <f>5.8</f>
        <v>5.8</v>
      </c>
      <c r="J344" s="87">
        <f>data비교작업!S347*100</f>
        <v>6.2091503267973813</v>
      </c>
      <c r="K344" s="85" t="e">
        <v>#N/A</v>
      </c>
    </row>
    <row r="345" spans="1:11" ht="18" customHeight="1" x14ac:dyDescent="0.25">
      <c r="A345" s="5">
        <v>33847</v>
      </c>
      <c r="B345" s="79" t="e">
        <f>NA()</f>
        <v>#N/A</v>
      </c>
      <c r="C345" s="80" t="e">
        <v>#N/A</v>
      </c>
      <c r="D345" s="14">
        <f>53.4</f>
        <v>53.4</v>
      </c>
      <c r="E345" s="14">
        <f>7.2</f>
        <v>7.2</v>
      </c>
      <c r="F345" s="14">
        <f>2.9</f>
        <v>2.9</v>
      </c>
      <c r="G345" s="14">
        <f>5.9</f>
        <v>5.9</v>
      </c>
      <c r="H345" s="14">
        <f>21.4</f>
        <v>21.4</v>
      </c>
      <c r="I345" s="86">
        <f>5.9</f>
        <v>5.9</v>
      </c>
      <c r="J345" s="87">
        <f>data비교작업!S348*100</f>
        <v>6.2295081967213068</v>
      </c>
      <c r="K345" s="85" t="e">
        <v>#N/A</v>
      </c>
    </row>
    <row r="346" spans="1:11" ht="18" customHeight="1" x14ac:dyDescent="0.25">
      <c r="A346" s="5">
        <v>33816</v>
      </c>
      <c r="B346" s="79" t="e">
        <f>NA()</f>
        <v>#N/A</v>
      </c>
      <c r="C346" s="80" t="e">
        <v>#N/A</v>
      </c>
      <c r="D346" s="14">
        <f>53.9</f>
        <v>53.9</v>
      </c>
      <c r="E346" s="14">
        <f>14.7</f>
        <v>14.7</v>
      </c>
      <c r="F346" s="14">
        <f>3.5</f>
        <v>3.5</v>
      </c>
      <c r="G346" s="14">
        <f>6.6</f>
        <v>6.6</v>
      </c>
      <c r="H346" s="14">
        <f>20.2</f>
        <v>20.2</v>
      </c>
      <c r="I346" s="86">
        <f>6.4</f>
        <v>6.4</v>
      </c>
      <c r="J346" s="87">
        <f>data비교작업!S349*100</f>
        <v>6.5789473684210522</v>
      </c>
      <c r="K346" s="85" t="e">
        <v>#N/A</v>
      </c>
    </row>
    <row r="347" spans="1:11" ht="18" customHeight="1" x14ac:dyDescent="0.25">
      <c r="A347" s="5">
        <v>33785</v>
      </c>
      <c r="B347" s="79" t="e">
        <f>NA()</f>
        <v>#N/A</v>
      </c>
      <c r="C347" s="80" t="e">
        <v>#N/A</v>
      </c>
      <c r="D347" s="14">
        <f>53.6</f>
        <v>53.6</v>
      </c>
      <c r="E347" s="14">
        <f>5.9</f>
        <v>5.9</v>
      </c>
      <c r="F347" s="14">
        <f>2.7</f>
        <v>2.7</v>
      </c>
      <c r="G347" s="14">
        <f>6.8</f>
        <v>6.8</v>
      </c>
      <c r="H347" s="14">
        <f>20.2</f>
        <v>20.2</v>
      </c>
      <c r="I347" s="86">
        <f>6.3</f>
        <v>6.3</v>
      </c>
      <c r="J347" s="87">
        <f>data비교작업!S350*100</f>
        <v>6.976744186046516</v>
      </c>
      <c r="K347" s="85" t="e">
        <v>#N/A</v>
      </c>
    </row>
    <row r="348" spans="1:11" ht="18" customHeight="1" x14ac:dyDescent="0.25">
      <c r="A348" s="5">
        <v>33755</v>
      </c>
      <c r="B348" s="79" t="e">
        <f>NA()</f>
        <v>#N/A</v>
      </c>
      <c r="C348" s="80" t="e">
        <v>#N/A</v>
      </c>
      <c r="D348" s="14">
        <f>55.7</f>
        <v>55.7</v>
      </c>
      <c r="E348" s="14">
        <f>3.1</f>
        <v>3.1</v>
      </c>
      <c r="F348" s="14">
        <f>2.3</f>
        <v>2.2999999999999998</v>
      </c>
      <c r="G348" s="14">
        <f>7.3</f>
        <v>7.3</v>
      </c>
      <c r="H348" s="14">
        <f>20.7</f>
        <v>20.7</v>
      </c>
      <c r="I348" s="86">
        <f>6.5</f>
        <v>6.5</v>
      </c>
      <c r="J348" s="87">
        <f>data비교작업!S351*100</f>
        <v>7.0234113712374633</v>
      </c>
      <c r="K348" s="85" t="e">
        <v>#N/A</v>
      </c>
    </row>
    <row r="349" spans="1:11" ht="18" customHeight="1" x14ac:dyDescent="0.25">
      <c r="A349" s="5">
        <v>33724</v>
      </c>
      <c r="B349" s="79" t="e">
        <f>NA()</f>
        <v>#N/A</v>
      </c>
      <c r="C349" s="80" t="e">
        <v>#N/A</v>
      </c>
      <c r="D349" s="14">
        <f>52.6</f>
        <v>52.6</v>
      </c>
      <c r="E349" s="14">
        <f>8.9</f>
        <v>8.9</v>
      </c>
      <c r="F349" s="14">
        <f>1.9</f>
        <v>1.9</v>
      </c>
      <c r="G349" s="14">
        <f>6.9</f>
        <v>6.9</v>
      </c>
      <c r="H349" s="14">
        <f>20.7</f>
        <v>20.7</v>
      </c>
      <c r="I349" s="86">
        <f>6.3</f>
        <v>6.3</v>
      </c>
      <c r="J349" s="87">
        <f>data비교작업!S352*100</f>
        <v>7.0707070707070763</v>
      </c>
      <c r="K349" s="85" t="e">
        <v>#N/A</v>
      </c>
    </row>
    <row r="350" spans="1:11" ht="18" customHeight="1" x14ac:dyDescent="0.25">
      <c r="A350" s="5">
        <v>33694</v>
      </c>
      <c r="B350" s="79" t="e">
        <f>NA()</f>
        <v>#N/A</v>
      </c>
      <c r="C350" s="80" t="e">
        <v>#N/A</v>
      </c>
      <c r="D350" s="14">
        <f>54.6</f>
        <v>54.6</v>
      </c>
      <c r="E350" s="14">
        <f>12.3</f>
        <v>12.3</v>
      </c>
      <c r="F350" s="14">
        <f>1.7</f>
        <v>1.7</v>
      </c>
      <c r="G350" s="14">
        <f>6.8</f>
        <v>6.8</v>
      </c>
      <c r="H350" s="14">
        <f>19.5</f>
        <v>19.5</v>
      </c>
      <c r="I350" s="86">
        <f>6.5</f>
        <v>6.5</v>
      </c>
      <c r="J350" s="87">
        <f>data비교작업!S353*100</f>
        <v>7.1186440677966143</v>
      </c>
      <c r="K350" s="85" t="e">
        <v>#N/A</v>
      </c>
    </row>
    <row r="351" spans="1:11" ht="18" customHeight="1" x14ac:dyDescent="0.25">
      <c r="A351" s="5">
        <v>33663</v>
      </c>
      <c r="B351" s="79" t="e">
        <f>NA()</f>
        <v>#N/A</v>
      </c>
      <c r="C351" s="80" t="e">
        <v>#N/A</v>
      </c>
      <c r="D351" s="14">
        <f>52.7</f>
        <v>52.7</v>
      </c>
      <c r="E351" s="14">
        <f>5.7</f>
        <v>5.7</v>
      </c>
      <c r="F351" s="14">
        <f>1.5</f>
        <v>1.5</v>
      </c>
      <c r="G351" s="14">
        <f>7</f>
        <v>7</v>
      </c>
      <c r="H351" s="14">
        <f>19.7</f>
        <v>19.7</v>
      </c>
      <c r="I351" s="86">
        <f>6.3</f>
        <v>6.3</v>
      </c>
      <c r="J351" s="87">
        <f>data비교작업!S354*100</f>
        <v>6.8027210884353746</v>
      </c>
      <c r="K351" s="85" t="e">
        <v>#N/A</v>
      </c>
    </row>
    <row r="352" spans="1:11" ht="18" customHeight="1" x14ac:dyDescent="0.25">
      <c r="A352" s="5">
        <v>33634</v>
      </c>
      <c r="B352" s="79" t="e">
        <f>NA()</f>
        <v>#N/A</v>
      </c>
      <c r="C352" s="80" t="e">
        <v>#N/A</v>
      </c>
      <c r="D352" s="14">
        <f>47.3</f>
        <v>47.3</v>
      </c>
      <c r="E352" s="14">
        <f>16.2</f>
        <v>16.2</v>
      </c>
      <c r="F352" s="14">
        <f>1.7</f>
        <v>1.7</v>
      </c>
      <c r="G352" s="14">
        <f>7.7</f>
        <v>7.7</v>
      </c>
      <c r="H352" s="14">
        <f>20.1</f>
        <v>20.100000000000001</v>
      </c>
      <c r="I352" s="86">
        <f>6.4</f>
        <v>6.4</v>
      </c>
      <c r="J352" s="87">
        <f>data비교작업!S355*100</f>
        <v>6.8493150684931505</v>
      </c>
      <c r="K352" s="85" t="e">
        <v>#N/A</v>
      </c>
    </row>
    <row r="353" spans="1:11" ht="18" customHeight="1" x14ac:dyDescent="0.25">
      <c r="A353" s="5">
        <v>33603</v>
      </c>
      <c r="B353" s="79" t="e">
        <f>NA()</f>
        <v>#N/A</v>
      </c>
      <c r="C353" s="80" t="e">
        <v>#N/A</v>
      </c>
      <c r="D353" s="14">
        <f>46.8</f>
        <v>46.8</v>
      </c>
      <c r="E353" s="14">
        <f>9.6</f>
        <v>9.6</v>
      </c>
      <c r="F353" s="14">
        <f>1.9</f>
        <v>1.9</v>
      </c>
      <c r="G353" s="14">
        <f>9.3</f>
        <v>9.3000000000000007</v>
      </c>
      <c r="H353" s="14">
        <f>18.9</f>
        <v>18.899999999999999</v>
      </c>
      <c r="I353" s="86">
        <f>6.8</f>
        <v>6.8</v>
      </c>
      <c r="J353" s="87">
        <f>data비교작업!S356*100</f>
        <v>6.8728522336769755</v>
      </c>
      <c r="K353" s="85" t="e">
        <v>#N/A</v>
      </c>
    </row>
    <row r="354" spans="1:11" ht="18" customHeight="1" x14ac:dyDescent="0.25">
      <c r="A354" s="5">
        <v>33572</v>
      </c>
      <c r="B354" s="79" t="e">
        <f>NA()</f>
        <v>#N/A</v>
      </c>
      <c r="C354" s="80" t="e">
        <v>#N/A</v>
      </c>
      <c r="D354" s="14">
        <f>49.5</f>
        <v>49.5</v>
      </c>
      <c r="E354" s="14">
        <f>10.9</f>
        <v>10.9</v>
      </c>
      <c r="F354" s="14">
        <f>2.7</f>
        <v>2.7</v>
      </c>
      <c r="G354" s="14">
        <f>9.7</f>
        <v>9.6999999999999993</v>
      </c>
      <c r="H354" s="14">
        <f>22.1</f>
        <v>22.1</v>
      </c>
      <c r="I354" s="86">
        <f>7</f>
        <v>7</v>
      </c>
      <c r="J354" s="87">
        <f>data비교작업!S357*100</f>
        <v>7.2664359861591752</v>
      </c>
      <c r="K354" s="85" t="e">
        <v>#N/A</v>
      </c>
    </row>
    <row r="355" spans="1:11" ht="18" customHeight="1" x14ac:dyDescent="0.25">
      <c r="A355" s="5">
        <v>33542</v>
      </c>
      <c r="B355" s="79" t="e">
        <f>NA()</f>
        <v>#N/A</v>
      </c>
      <c r="C355" s="80" t="e">
        <v>#N/A</v>
      </c>
      <c r="D355" s="14">
        <f>53.1</f>
        <v>53.1</v>
      </c>
      <c r="E355" s="14">
        <f>25.6</f>
        <v>25.6</v>
      </c>
      <c r="F355" s="14">
        <f>2.9</f>
        <v>2.9</v>
      </c>
      <c r="G355" s="14">
        <f>9.3</f>
        <v>9.3000000000000007</v>
      </c>
      <c r="H355" s="14">
        <f>22.7</f>
        <v>22.7</v>
      </c>
      <c r="I355" s="86">
        <f>7.4</f>
        <v>7.4</v>
      </c>
      <c r="J355" s="87">
        <f>data비교작업!S358*100</f>
        <v>7.317073170731712</v>
      </c>
      <c r="K355" s="85" t="e">
        <v>#N/A</v>
      </c>
    </row>
    <row r="356" spans="1:11" ht="18" customHeight="1" x14ac:dyDescent="0.25">
      <c r="A356" s="5">
        <v>33511</v>
      </c>
      <c r="B356" s="79" t="e">
        <f>NA()</f>
        <v>#N/A</v>
      </c>
      <c r="C356" s="80" t="e">
        <v>#N/A</v>
      </c>
      <c r="D356" s="14">
        <f>54.9</f>
        <v>54.9</v>
      </c>
      <c r="E356" s="14">
        <f>-7.1</f>
        <v>-7.1</v>
      </c>
      <c r="F356" s="14">
        <f>3.7</f>
        <v>3.7</v>
      </c>
      <c r="G356" s="14">
        <f>9.4</f>
        <v>9.4</v>
      </c>
      <c r="H356" s="14">
        <f>21.8</f>
        <v>21.8</v>
      </c>
      <c r="I356" s="86">
        <f>7.5</f>
        <v>7.5</v>
      </c>
      <c r="J356" s="87">
        <f>data비교작업!S359*100</f>
        <v>7.7464788732394467</v>
      </c>
      <c r="K356" s="85" t="e">
        <v>#N/A</v>
      </c>
    </row>
    <row r="357" spans="1:11" ht="18" customHeight="1" x14ac:dyDescent="0.25">
      <c r="A357" s="5">
        <v>33481</v>
      </c>
      <c r="B357" s="79" t="e">
        <f>NA()</f>
        <v>#N/A</v>
      </c>
      <c r="C357" s="80" t="e">
        <v>#N/A</v>
      </c>
      <c r="D357" s="14">
        <f>52.9</f>
        <v>52.9</v>
      </c>
      <c r="E357" s="14">
        <f>8.3</f>
        <v>8.3000000000000007</v>
      </c>
      <c r="F357" s="14">
        <f>4.9</f>
        <v>4.9000000000000004</v>
      </c>
      <c r="G357" s="14">
        <f>9.5</f>
        <v>9.5</v>
      </c>
      <c r="H357" s="14">
        <f>24.8</f>
        <v>24.8</v>
      </c>
      <c r="I357" s="86">
        <f>7.8</f>
        <v>7.8</v>
      </c>
      <c r="J357" s="87">
        <f>data비교작업!S360*100</f>
        <v>8.5409252669039084</v>
      </c>
      <c r="K357" s="85" t="e">
        <v>#N/A</v>
      </c>
    </row>
    <row r="358" spans="1:11" ht="18" customHeight="1" x14ac:dyDescent="0.25">
      <c r="A358" s="5">
        <v>33450</v>
      </c>
      <c r="B358" s="79" t="e">
        <f>NA()</f>
        <v>#N/A</v>
      </c>
      <c r="C358" s="80" t="e">
        <v>#N/A</v>
      </c>
      <c r="D358" s="14">
        <f>50.6</f>
        <v>50.6</v>
      </c>
      <c r="E358" s="14">
        <f>0.9</f>
        <v>0.9</v>
      </c>
      <c r="F358" s="14">
        <f>4.8</f>
        <v>4.8</v>
      </c>
      <c r="G358" s="14">
        <f>9</f>
        <v>9</v>
      </c>
      <c r="H358" s="14">
        <f>23.5</f>
        <v>23.5</v>
      </c>
      <c r="I358" s="86">
        <f>8.1</f>
        <v>8.1</v>
      </c>
      <c r="J358" s="87">
        <f>data비교작업!S361*100</f>
        <v>9.3525179856115024</v>
      </c>
      <c r="K358" s="85" t="e">
        <v>#N/A</v>
      </c>
    </row>
    <row r="359" spans="1:11" ht="18" customHeight="1" x14ac:dyDescent="0.25">
      <c r="A359" s="5">
        <v>33419</v>
      </c>
      <c r="B359" s="79" t="e">
        <f>NA()</f>
        <v>#N/A</v>
      </c>
      <c r="C359" s="80" t="e">
        <v>#N/A</v>
      </c>
      <c r="D359" s="14">
        <f>50.3</f>
        <v>50.3</v>
      </c>
      <c r="E359" s="14">
        <f>17.1</f>
        <v>17.100000000000001</v>
      </c>
      <c r="F359" s="14">
        <f>4.8</f>
        <v>4.8</v>
      </c>
      <c r="G359" s="14">
        <f>8.7</f>
        <v>8.6999999999999993</v>
      </c>
      <c r="H359" s="14">
        <f>22.4</f>
        <v>22.4</v>
      </c>
      <c r="I359" s="86">
        <f>8.1</f>
        <v>8.1</v>
      </c>
      <c r="J359" s="87">
        <f>data비교작업!S362*100</f>
        <v>9.0579710144927539</v>
      </c>
      <c r="K359" s="85" t="e">
        <v>#N/A</v>
      </c>
    </row>
    <row r="360" spans="1:11" ht="18" customHeight="1" x14ac:dyDescent="0.25">
      <c r="A360" s="5">
        <v>33389</v>
      </c>
      <c r="B360" s="79" t="e">
        <f>NA()</f>
        <v>#N/A</v>
      </c>
      <c r="C360" s="80" t="e">
        <v>#N/A</v>
      </c>
      <c r="D360" s="14">
        <f>44.5</f>
        <v>44.5</v>
      </c>
      <c r="E360" s="14">
        <f>17.9</f>
        <v>17.899999999999999</v>
      </c>
      <c r="F360" s="14">
        <f>5.1</f>
        <v>5.0999999999999996</v>
      </c>
      <c r="G360" s="14">
        <f>8.5</f>
        <v>8.5</v>
      </c>
      <c r="H360" s="14">
        <f>23.1</f>
        <v>23.1</v>
      </c>
      <c r="I360" s="86">
        <f>8.2</f>
        <v>8.1999999999999993</v>
      </c>
      <c r="J360" s="87">
        <f>data비교작업!S363*100</f>
        <v>9.1240875912408761</v>
      </c>
      <c r="K360" s="85" t="e">
        <v>#N/A</v>
      </c>
    </row>
    <row r="361" spans="1:11" ht="18" customHeight="1" x14ac:dyDescent="0.25">
      <c r="A361" s="5">
        <v>33358</v>
      </c>
      <c r="B361" s="79" t="e">
        <f>NA()</f>
        <v>#N/A</v>
      </c>
      <c r="C361" s="80" t="e">
        <v>#N/A</v>
      </c>
      <c r="D361" s="14">
        <f>42.8</f>
        <v>42.8</v>
      </c>
      <c r="E361" s="14">
        <f>18</f>
        <v>18</v>
      </c>
      <c r="F361" s="14">
        <f>6</f>
        <v>6</v>
      </c>
      <c r="G361" s="14">
        <f>9.4</f>
        <v>9.4</v>
      </c>
      <c r="H361" s="14">
        <f>23.3</f>
        <v>23.3</v>
      </c>
      <c r="I361" s="86">
        <f>8.3</f>
        <v>8.3000000000000007</v>
      </c>
      <c r="J361" s="87">
        <f>data비교작업!S364*100</f>
        <v>9.1911764705882355</v>
      </c>
      <c r="K361" s="85" t="e">
        <v>#N/A</v>
      </c>
    </row>
    <row r="362" spans="1:11" ht="18" customHeight="1" x14ac:dyDescent="0.25">
      <c r="A362" s="5">
        <v>33328</v>
      </c>
      <c r="B362" s="79" t="e">
        <f>NA()</f>
        <v>#N/A</v>
      </c>
      <c r="C362" s="80" t="e">
        <v>#N/A</v>
      </c>
      <c r="D362" s="14">
        <f>40.7</f>
        <v>40.700000000000003</v>
      </c>
      <c r="E362" s="14">
        <f>8.6</f>
        <v>8.6</v>
      </c>
      <c r="F362" s="14">
        <f>6.6</f>
        <v>6.6</v>
      </c>
      <c r="G362" s="14">
        <f>10.1</f>
        <v>10.1</v>
      </c>
      <c r="H362" s="14">
        <f>25.9</f>
        <v>25.9</v>
      </c>
      <c r="I362" s="86">
        <f>8.6</f>
        <v>8.6</v>
      </c>
      <c r="J362" s="87">
        <f>data비교작업!S365*100</f>
        <v>8.8560885608856026</v>
      </c>
      <c r="K362" s="85" t="e">
        <v>#N/A</v>
      </c>
    </row>
    <row r="363" spans="1:11" ht="18" customHeight="1" x14ac:dyDescent="0.25">
      <c r="A363" s="5">
        <v>33297</v>
      </c>
      <c r="B363" s="79" t="e">
        <f>NA()</f>
        <v>#N/A</v>
      </c>
      <c r="C363" s="80" t="e">
        <v>#N/A</v>
      </c>
      <c r="D363" s="14">
        <f>39.4</f>
        <v>39.4</v>
      </c>
      <c r="E363" s="14">
        <f>4</f>
        <v>4</v>
      </c>
      <c r="F363" s="14">
        <f>6.9</f>
        <v>6.9</v>
      </c>
      <c r="G363" s="14">
        <f>9.9</f>
        <v>9.9</v>
      </c>
      <c r="H363" s="14">
        <f>25.9</f>
        <v>25.9</v>
      </c>
      <c r="I363" s="86">
        <f>8.8</f>
        <v>8.8000000000000007</v>
      </c>
      <c r="J363" s="87">
        <f>data비교작업!S366*100</f>
        <v>9.2936802973977706</v>
      </c>
      <c r="K363" s="85" t="e">
        <v>#N/A</v>
      </c>
    </row>
    <row r="364" spans="1:11" ht="18" customHeight="1" x14ac:dyDescent="0.25">
      <c r="A364" s="5">
        <v>33269</v>
      </c>
      <c r="B364" s="79" t="e">
        <f>NA()</f>
        <v>#N/A</v>
      </c>
      <c r="C364" s="80" t="e">
        <v>#N/A</v>
      </c>
      <c r="D364" s="14">
        <f>39.2</f>
        <v>39.200000000000003</v>
      </c>
      <c r="E364" s="14">
        <f>17.1</f>
        <v>17.100000000000001</v>
      </c>
      <c r="F364" s="14">
        <f>6.6</f>
        <v>6.6</v>
      </c>
      <c r="G364" s="14">
        <f>9.2</f>
        <v>9.1999999999999993</v>
      </c>
      <c r="H364" s="14">
        <f>25.3</f>
        <v>25.3</v>
      </c>
      <c r="I364" s="86">
        <f>9.1</f>
        <v>9.1</v>
      </c>
      <c r="J364" s="87">
        <f>data비교작업!S367*100</f>
        <v>9.3632958801498134</v>
      </c>
      <c r="K364" s="85" t="e">
        <v>#N/A</v>
      </c>
    </row>
    <row r="365" spans="1:11" ht="18" customHeight="1" x14ac:dyDescent="0.25">
      <c r="A365" s="5">
        <v>33238</v>
      </c>
      <c r="B365" s="79" t="e">
        <f>NA()</f>
        <v>#N/A</v>
      </c>
      <c r="C365" s="80" t="e">
        <v>#N/A</v>
      </c>
      <c r="D365" s="14">
        <f>40.8</f>
        <v>40.799999999999997</v>
      </c>
      <c r="E365" s="14">
        <f>13</f>
        <v>13</v>
      </c>
      <c r="F365" s="14">
        <f>7.3</f>
        <v>7.3</v>
      </c>
      <c r="G365" s="14">
        <f>9.3</f>
        <v>9.3000000000000007</v>
      </c>
      <c r="H365" s="14">
        <f>30.1</f>
        <v>30.1</v>
      </c>
      <c r="I365" s="86">
        <f>9.4</f>
        <v>9.4</v>
      </c>
      <c r="J365" s="87">
        <f>data비교작업!S368*100</f>
        <v>9.8113207547169861</v>
      </c>
      <c r="K365" s="85" t="e">
        <v>#N/A</v>
      </c>
    </row>
    <row r="366" spans="1:11" ht="18" customHeight="1" x14ac:dyDescent="0.25">
      <c r="A366" s="5">
        <v>33207</v>
      </c>
      <c r="B366" s="79" t="e">
        <f>NA()</f>
        <v>#N/A</v>
      </c>
      <c r="C366" s="80" t="e">
        <v>#N/A</v>
      </c>
      <c r="D366" s="14">
        <f>41.3</f>
        <v>41.3</v>
      </c>
      <c r="E366" s="14">
        <f>6.5</f>
        <v>6.5</v>
      </c>
      <c r="F366" s="14">
        <f>6.2</f>
        <v>6.2</v>
      </c>
      <c r="G366" s="14">
        <f>8.6</f>
        <v>8.6</v>
      </c>
      <c r="H366" s="14">
        <f>29.3</f>
        <v>29.3</v>
      </c>
      <c r="I366" s="86">
        <f>9.5</f>
        <v>9.5</v>
      </c>
      <c r="J366" s="87">
        <f>data비교작업!S369*100</f>
        <v>9.4696969696969688</v>
      </c>
      <c r="K366" s="85" t="e">
        <v>#N/A</v>
      </c>
    </row>
    <row r="367" spans="1:11" ht="18" customHeight="1" x14ac:dyDescent="0.25">
      <c r="A367" s="5">
        <v>33177</v>
      </c>
      <c r="B367" s="79" t="e">
        <f>NA()</f>
        <v>#N/A</v>
      </c>
      <c r="C367" s="80" t="e">
        <v>#N/A</v>
      </c>
      <c r="D367" s="14">
        <f>43.2</f>
        <v>43.2</v>
      </c>
      <c r="E367" s="14">
        <f>-0.4</f>
        <v>-0.4</v>
      </c>
      <c r="F367" s="14">
        <f>5.7</f>
        <v>5.7</v>
      </c>
      <c r="G367" s="14">
        <f>8.7</f>
        <v>8.6999999999999993</v>
      </c>
      <c r="H367" s="14">
        <f>28.7</f>
        <v>28.7</v>
      </c>
      <c r="I367" s="86">
        <f>9.4</f>
        <v>9.4</v>
      </c>
      <c r="J367" s="87">
        <f>data비교작업!S370*100</f>
        <v>9.5419847328244281</v>
      </c>
      <c r="K367" s="85" t="e">
        <v>#N/A</v>
      </c>
    </row>
    <row r="368" spans="1:11" ht="18" customHeight="1" x14ac:dyDescent="0.25">
      <c r="A368" s="5">
        <v>33146</v>
      </c>
      <c r="B368" s="79" t="e">
        <f>NA()</f>
        <v>#N/A</v>
      </c>
      <c r="C368" s="80" t="e">
        <v>#N/A</v>
      </c>
      <c r="D368" s="14">
        <f>44.5</f>
        <v>44.5</v>
      </c>
      <c r="E368" s="14">
        <f>11.6</f>
        <v>11.6</v>
      </c>
      <c r="F368" s="14">
        <f>4.9</f>
        <v>4.9000000000000004</v>
      </c>
      <c r="G368" s="14">
        <f>8.6</f>
        <v>8.6</v>
      </c>
      <c r="H368" s="14">
        <f>28.7</f>
        <v>28.7</v>
      </c>
      <c r="I368" s="86">
        <f>9</f>
        <v>9</v>
      </c>
      <c r="J368" s="87">
        <f>data비교작업!S371*100</f>
        <v>9.2307692307692264</v>
      </c>
      <c r="K368" s="85" t="e">
        <v>#N/A</v>
      </c>
    </row>
    <row r="369" spans="1:11" ht="18" customHeight="1" x14ac:dyDescent="0.25">
      <c r="A369" s="5">
        <v>33116</v>
      </c>
      <c r="B369" s="79" t="e">
        <f>NA()</f>
        <v>#N/A</v>
      </c>
      <c r="C369" s="80" t="e">
        <v>#N/A</v>
      </c>
      <c r="D369" s="14">
        <f>46.1</f>
        <v>46.1</v>
      </c>
      <c r="E369" s="14">
        <f>1</f>
        <v>1</v>
      </c>
      <c r="F369" s="14">
        <f>4.2</f>
        <v>4.2</v>
      </c>
      <c r="G369" s="14">
        <f>9</f>
        <v>9</v>
      </c>
      <c r="H369" s="14">
        <f>26.6</f>
        <v>26.6</v>
      </c>
      <c r="I369" s="86">
        <f>8.6</f>
        <v>8.6</v>
      </c>
      <c r="J369" s="87">
        <f>data비교작업!S372*100</f>
        <v>8.9147286821705443</v>
      </c>
      <c r="K369" s="85" t="e">
        <v>#N/A</v>
      </c>
    </row>
    <row r="370" spans="1:11" ht="18" customHeight="1" x14ac:dyDescent="0.25">
      <c r="A370" s="5">
        <v>33085</v>
      </c>
      <c r="B370" s="79" t="e">
        <f>NA()</f>
        <v>#N/A</v>
      </c>
      <c r="C370" s="80" t="e">
        <v>#N/A</v>
      </c>
      <c r="D370" s="14">
        <f>46.6</f>
        <v>46.6</v>
      </c>
      <c r="E370" s="14">
        <f>4.9</f>
        <v>4.9000000000000004</v>
      </c>
      <c r="F370" s="14">
        <f>4.2</f>
        <v>4.2</v>
      </c>
      <c r="G370" s="14">
        <f>9.4</f>
        <v>9.4</v>
      </c>
      <c r="H370" s="14">
        <f>28.4</f>
        <v>28.4</v>
      </c>
      <c r="I370" s="86">
        <f>8.3</f>
        <v>8.3000000000000007</v>
      </c>
      <c r="J370" s="87">
        <f>data비교작업!S373*100</f>
        <v>8.5937499999999964</v>
      </c>
      <c r="K370" s="85" t="e">
        <v>#N/A</v>
      </c>
    </row>
    <row r="371" spans="1:11" ht="18" customHeight="1" x14ac:dyDescent="0.25">
      <c r="A371" s="5">
        <v>33054</v>
      </c>
      <c r="B371" s="79" t="e">
        <f>NA()</f>
        <v>#N/A</v>
      </c>
      <c r="C371" s="80" t="e">
        <v>#N/A</v>
      </c>
      <c r="D371" s="14">
        <f>49.2</f>
        <v>49.2</v>
      </c>
      <c r="E371" s="14">
        <f>4.8</f>
        <v>4.8</v>
      </c>
      <c r="F371" s="14">
        <f>3.6</f>
        <v>3.6</v>
      </c>
      <c r="G371" s="14">
        <f>8.9</f>
        <v>8.9</v>
      </c>
      <c r="H371" s="14">
        <f>29</f>
        <v>29</v>
      </c>
      <c r="I371" s="86">
        <f>8.2</f>
        <v>8.1999999999999993</v>
      </c>
      <c r="J371" s="87">
        <f>data비교작업!S374*100</f>
        <v>8.6614173228346569</v>
      </c>
      <c r="K371" s="85" t="e">
        <v>#N/A</v>
      </c>
    </row>
    <row r="372" spans="1:11" ht="18" customHeight="1" x14ac:dyDescent="0.25">
      <c r="A372" s="5">
        <v>33024</v>
      </c>
      <c r="B372" s="79" t="e">
        <f>NA()</f>
        <v>#N/A</v>
      </c>
      <c r="C372" s="80" t="e">
        <v>#N/A</v>
      </c>
      <c r="D372" s="14">
        <f>49.5</f>
        <v>49.5</v>
      </c>
      <c r="E372" s="14">
        <f>5.4</f>
        <v>5.4</v>
      </c>
      <c r="F372" s="14">
        <f>3.3</f>
        <v>3.3</v>
      </c>
      <c r="G372" s="14">
        <f>8.6</f>
        <v>8.6</v>
      </c>
      <c r="H372" s="14">
        <f>28</f>
        <v>28</v>
      </c>
      <c r="I372" s="86">
        <f>8.4</f>
        <v>8.4</v>
      </c>
      <c r="J372" s="87">
        <f>data비교작업!S375*100</f>
        <v>8.7301587301587276</v>
      </c>
      <c r="K372" s="85" t="e">
        <v>#N/A</v>
      </c>
    </row>
    <row r="373" spans="1:11" ht="18" customHeight="1" x14ac:dyDescent="0.25">
      <c r="A373" s="5">
        <v>32993</v>
      </c>
      <c r="B373" s="79" t="e">
        <f>NA()</f>
        <v>#N/A</v>
      </c>
      <c r="C373" s="80" t="e">
        <v>#N/A</v>
      </c>
      <c r="D373" s="14">
        <f>50</f>
        <v>50</v>
      </c>
      <c r="E373" s="14">
        <f>3.5</f>
        <v>3.5</v>
      </c>
      <c r="F373" s="14">
        <f>3</f>
        <v>3</v>
      </c>
      <c r="G373" s="14">
        <f>8.7</f>
        <v>8.6999999999999993</v>
      </c>
      <c r="H373" s="14">
        <f>27.4</f>
        <v>27.4</v>
      </c>
      <c r="I373" s="86">
        <f>8.7</f>
        <v>8.6999999999999993</v>
      </c>
      <c r="J373" s="87">
        <f>data비교작업!S376*100</f>
        <v>9.2369477911646634</v>
      </c>
      <c r="K373" s="85" t="e">
        <v>#N/A</v>
      </c>
    </row>
    <row r="374" spans="1:11" ht="18" customHeight="1" x14ac:dyDescent="0.25">
      <c r="A374" s="5">
        <v>32963</v>
      </c>
      <c r="B374" s="79" t="e">
        <f>NA()</f>
        <v>#N/A</v>
      </c>
      <c r="C374" s="80" t="e">
        <v>#N/A</v>
      </c>
      <c r="D374" s="14">
        <f>49.9</f>
        <v>49.9</v>
      </c>
      <c r="E374" s="14">
        <f>-1.1</f>
        <v>-1.1000000000000001</v>
      </c>
      <c r="F374" s="14">
        <f>2.8</f>
        <v>2.8</v>
      </c>
      <c r="G374" s="14">
        <f>8</f>
        <v>8</v>
      </c>
      <c r="H374" s="14">
        <f>26.1</f>
        <v>26.1</v>
      </c>
      <c r="I374" s="86">
        <f>8.9</f>
        <v>8.9</v>
      </c>
      <c r="J374" s="87">
        <f>data비교작업!S377*100</f>
        <v>9.716599190283409</v>
      </c>
      <c r="K374" s="85" t="e">
        <v>#N/A</v>
      </c>
    </row>
    <row r="375" spans="1:11" ht="18" customHeight="1" x14ac:dyDescent="0.25">
      <c r="A375" s="5">
        <v>32932</v>
      </c>
      <c r="B375" s="79" t="e">
        <f>NA()</f>
        <v>#N/A</v>
      </c>
      <c r="C375" s="80" t="e">
        <v>#N/A</v>
      </c>
      <c r="D375" s="14">
        <f>49.1</f>
        <v>49.1</v>
      </c>
      <c r="E375" s="14">
        <f>7.9</f>
        <v>7.9</v>
      </c>
      <c r="F375" s="14">
        <f>2.3</f>
        <v>2.2999999999999998</v>
      </c>
      <c r="G375" s="14">
        <f>7.6</f>
        <v>7.6</v>
      </c>
      <c r="H375" s="14">
        <f>26.1</f>
        <v>26.1</v>
      </c>
      <c r="I375" s="86">
        <f>9</f>
        <v>9</v>
      </c>
      <c r="J375" s="87">
        <f>data비교작업!S378*100</f>
        <v>9.7959183673469319</v>
      </c>
      <c r="K375" s="85" t="e">
        <v>#N/A</v>
      </c>
    </row>
    <row r="376" spans="1:11" ht="18" customHeight="1" x14ac:dyDescent="0.25">
      <c r="A376" s="5">
        <v>32904</v>
      </c>
      <c r="B376" s="79" t="e">
        <f>NA()</f>
        <v>#N/A</v>
      </c>
      <c r="C376" s="80" t="e">
        <v>#N/A</v>
      </c>
      <c r="D376" s="14">
        <f>47.2</f>
        <v>47.2</v>
      </c>
      <c r="E376" s="14">
        <f>-10</f>
        <v>-10</v>
      </c>
      <c r="F376" s="14">
        <f>2.4</f>
        <v>2.4</v>
      </c>
      <c r="G376" s="14">
        <f>7.3</f>
        <v>7.3</v>
      </c>
      <c r="H376" s="14">
        <f>25.8</f>
        <v>25.8</v>
      </c>
      <c r="I376" s="86">
        <f>9.1</f>
        <v>9.1</v>
      </c>
      <c r="J376" s="87">
        <f>data비교작업!S379*100</f>
        <v>9.8765432098765373</v>
      </c>
      <c r="K376" s="85" t="e">
        <v>#N/A</v>
      </c>
    </row>
    <row r="377" spans="1:11" ht="18" customHeight="1" x14ac:dyDescent="0.25">
      <c r="A377" s="5">
        <v>32873</v>
      </c>
      <c r="B377" s="79" t="e">
        <f>NA()</f>
        <v>#N/A</v>
      </c>
      <c r="C377" s="80" t="e">
        <v>#N/A</v>
      </c>
      <c r="D377" s="14">
        <f>47.4</f>
        <v>47.4</v>
      </c>
      <c r="E377" s="14">
        <f>-2.9</f>
        <v>-2.9</v>
      </c>
      <c r="F377" s="14">
        <f>1.1</f>
        <v>1.1000000000000001</v>
      </c>
      <c r="G377" s="14">
        <f>5.1</f>
        <v>5.0999999999999996</v>
      </c>
      <c r="H377" s="14">
        <f>21.9</f>
        <v>21.9</v>
      </c>
      <c r="I377" s="86">
        <f>9</f>
        <v>9</v>
      </c>
      <c r="J377" s="87">
        <f>data비교작업!S380*100</f>
        <v>10.416666666666668</v>
      </c>
      <c r="K377" s="85" t="e">
        <v>#N/A</v>
      </c>
    </row>
    <row r="378" spans="1:11" ht="18" customHeight="1" x14ac:dyDescent="0.25">
      <c r="A378" s="5">
        <v>32842</v>
      </c>
      <c r="B378" s="79" t="e">
        <f>NA()</f>
        <v>#N/A</v>
      </c>
      <c r="C378" s="80" t="e">
        <v>#N/A</v>
      </c>
      <c r="D378" s="14">
        <f>46.8</f>
        <v>46.8</v>
      </c>
      <c r="E378" s="14">
        <f>-2.7</f>
        <v>-2.7</v>
      </c>
      <c r="F378" s="14">
        <f>1.5</f>
        <v>1.5</v>
      </c>
      <c r="G378" s="14">
        <f>6.1</f>
        <v>6.1</v>
      </c>
      <c r="H378" s="14">
        <f>21.6</f>
        <v>21.6</v>
      </c>
      <c r="I378" s="86">
        <f>9.1</f>
        <v>9.1</v>
      </c>
      <c r="J378" s="87">
        <f>data비교작업!S381*100</f>
        <v>10.460251046025105</v>
      </c>
      <c r="K378" s="85" t="e">
        <v>#N/A</v>
      </c>
    </row>
    <row r="379" spans="1:11" ht="18" customHeight="1" x14ac:dyDescent="0.25">
      <c r="A379" s="5">
        <v>32812</v>
      </c>
      <c r="B379" s="79" t="e">
        <f>NA()</f>
        <v>#N/A</v>
      </c>
      <c r="C379" s="80" t="e">
        <v>#N/A</v>
      </c>
      <c r="D379" s="14">
        <f>46.8</f>
        <v>46.8</v>
      </c>
      <c r="E379" s="14">
        <f>0.9</f>
        <v>0.9</v>
      </c>
      <c r="F379" s="14">
        <f>2.4</f>
        <v>2.4</v>
      </c>
      <c r="G379" s="14">
        <f>6.7</f>
        <v>6.7</v>
      </c>
      <c r="H379" s="14">
        <f>22.2</f>
        <v>22.2</v>
      </c>
      <c r="I379" s="86">
        <f>9.2</f>
        <v>9.1999999999999993</v>
      </c>
      <c r="J379" s="87">
        <f>data비교작업!S382*100</f>
        <v>9.6234309623430985</v>
      </c>
      <c r="K379" s="85" t="e">
        <v>#N/A</v>
      </c>
    </row>
    <row r="380" spans="1:11" ht="18" customHeight="1" x14ac:dyDescent="0.25">
      <c r="A380" s="5">
        <v>32781</v>
      </c>
      <c r="B380" s="79" t="e">
        <f>NA()</f>
        <v>#N/A</v>
      </c>
      <c r="C380" s="80" t="e">
        <v>#N/A</v>
      </c>
      <c r="D380" s="14">
        <f>46</f>
        <v>46</v>
      </c>
      <c r="E380" s="14">
        <f>1.5</f>
        <v>1.5</v>
      </c>
      <c r="F380" s="14">
        <f>1.6</f>
        <v>1.6</v>
      </c>
      <c r="G380" s="14">
        <f>6.2</f>
        <v>6.2</v>
      </c>
      <c r="H380" s="14">
        <f>22.5</f>
        <v>22.5</v>
      </c>
      <c r="I380" s="86">
        <f>9</f>
        <v>9</v>
      </c>
      <c r="J380" s="87">
        <f>data비교작업!S383*100</f>
        <v>9.2436974789915922</v>
      </c>
      <c r="K380" s="85" t="e">
        <v>#N/A</v>
      </c>
    </row>
    <row r="381" spans="1:11" ht="18" customHeight="1" x14ac:dyDescent="0.25">
      <c r="A381" s="5">
        <v>32751</v>
      </c>
      <c r="B381" s="79" t="e">
        <f>NA()</f>
        <v>#N/A</v>
      </c>
      <c r="C381" s="80" t="e">
        <v>#N/A</v>
      </c>
      <c r="D381" s="14">
        <f>45.1</f>
        <v>45.1</v>
      </c>
      <c r="E381" s="14">
        <f>-0.8</f>
        <v>-0.8</v>
      </c>
      <c r="F381" s="14">
        <f>0.7</f>
        <v>0.7</v>
      </c>
      <c r="G381" s="14">
        <f>5.5</f>
        <v>5.5</v>
      </c>
      <c r="H381" s="14">
        <f>21.2</f>
        <v>21.2</v>
      </c>
      <c r="I381" s="86">
        <f>8.8</f>
        <v>8.8000000000000007</v>
      </c>
      <c r="J381" s="87">
        <f>data비교작업!S384*100</f>
        <v>8.8607594936708924</v>
      </c>
      <c r="K381" s="85" t="e">
        <v>#N/A</v>
      </c>
    </row>
    <row r="382" spans="1:11" ht="18" customHeight="1" x14ac:dyDescent="0.25">
      <c r="A382" s="5">
        <v>32720</v>
      </c>
      <c r="B382" s="79" t="e">
        <f>NA()</f>
        <v>#N/A</v>
      </c>
      <c r="C382" s="80" t="e">
        <v>#N/A</v>
      </c>
      <c r="D382" s="14">
        <f>45.9</f>
        <v>45.9</v>
      </c>
      <c r="E382" s="14">
        <f>0.6</f>
        <v>0.6</v>
      </c>
      <c r="F382" s="14">
        <f>0.8</f>
        <v>0.8</v>
      </c>
      <c r="G382" s="14">
        <f>5.3</f>
        <v>5.3</v>
      </c>
      <c r="H382" s="14">
        <f>24.6</f>
        <v>24.6</v>
      </c>
      <c r="I382" s="86">
        <f>8.8</f>
        <v>8.8000000000000007</v>
      </c>
      <c r="J382" s="87">
        <f>data비교작업!S385*100</f>
        <v>8.9361702127659637</v>
      </c>
      <c r="K382" s="85" t="e">
        <v>#N/A</v>
      </c>
    </row>
    <row r="383" spans="1:11" ht="18" customHeight="1" x14ac:dyDescent="0.25">
      <c r="A383" s="5">
        <v>32689</v>
      </c>
      <c r="B383" s="79" t="e">
        <f>NA()</f>
        <v>#N/A</v>
      </c>
      <c r="C383" s="80" t="e">
        <v>#N/A</v>
      </c>
      <c r="D383" s="14">
        <f>47.3</f>
        <v>47.3</v>
      </c>
      <c r="E383" s="14">
        <f>7.4</f>
        <v>7.4</v>
      </c>
      <c r="F383" s="14">
        <f>1.9</f>
        <v>1.9</v>
      </c>
      <c r="G383" s="14">
        <f>5.5</f>
        <v>5.5</v>
      </c>
      <c r="H383" s="14">
        <f>24.7</f>
        <v>24.7</v>
      </c>
      <c r="I383" s="86">
        <f>8.7</f>
        <v>8.6999999999999993</v>
      </c>
      <c r="J383" s="87">
        <f>data비교작업!S386*100</f>
        <v>9.0128755364806779</v>
      </c>
      <c r="K383" s="85" t="e">
        <v>#N/A</v>
      </c>
    </row>
    <row r="384" spans="1:11" ht="18" customHeight="1" x14ac:dyDescent="0.25">
      <c r="A384" s="5">
        <v>32659</v>
      </c>
      <c r="B384" s="79" t="e">
        <f>NA()</f>
        <v>#N/A</v>
      </c>
      <c r="C384" s="80" t="e">
        <v>#N/A</v>
      </c>
      <c r="D384" s="14">
        <f>49.3</f>
        <v>49.3</v>
      </c>
      <c r="E384" s="14">
        <f>3.7</f>
        <v>3.7</v>
      </c>
      <c r="F384" s="14">
        <f>2</f>
        <v>2</v>
      </c>
      <c r="G384" s="14">
        <f>6</f>
        <v>6</v>
      </c>
      <c r="H384" s="14">
        <f>27.2</f>
        <v>27.2</v>
      </c>
      <c r="I384" s="86">
        <f>8.2</f>
        <v>8.1999999999999993</v>
      </c>
      <c r="J384" s="87">
        <f>data비교작업!S387*100</f>
        <v>8.6206896551724146</v>
      </c>
      <c r="K384" s="85" t="e">
        <v>#N/A</v>
      </c>
    </row>
    <row r="385" spans="1:11" ht="18" customHeight="1" x14ac:dyDescent="0.25">
      <c r="A385" s="5">
        <v>32628</v>
      </c>
      <c r="B385" s="79" t="e">
        <f>NA()</f>
        <v>#N/A</v>
      </c>
      <c r="C385" s="80" t="e">
        <v>#N/A</v>
      </c>
      <c r="D385" s="14">
        <f>52.2</f>
        <v>52.2</v>
      </c>
      <c r="E385" s="14">
        <f>3.4</f>
        <v>3.4</v>
      </c>
      <c r="F385" s="14">
        <f>2</f>
        <v>2</v>
      </c>
      <c r="G385" s="14">
        <f>5.2</f>
        <v>5.2</v>
      </c>
      <c r="H385" s="14">
        <f>27</f>
        <v>27</v>
      </c>
      <c r="I385" s="86">
        <f>7.8</f>
        <v>7.8</v>
      </c>
      <c r="J385" s="87">
        <f>data비교작업!S388*100</f>
        <v>8.2608695652173854</v>
      </c>
      <c r="K385" s="85" t="e">
        <v>#N/A</v>
      </c>
    </row>
    <row r="386" spans="1:11" ht="18" customHeight="1" x14ac:dyDescent="0.25">
      <c r="A386" s="5">
        <v>32598</v>
      </c>
      <c r="B386" s="79" t="e">
        <f>NA()</f>
        <v>#N/A</v>
      </c>
      <c r="C386" s="80" t="e">
        <v>#N/A</v>
      </c>
      <c r="D386" s="14">
        <f>51.5</f>
        <v>51.5</v>
      </c>
      <c r="E386" s="14">
        <f>11.2</f>
        <v>11.2</v>
      </c>
      <c r="F386" s="14">
        <f>1.3</f>
        <v>1.3</v>
      </c>
      <c r="G386" s="14">
        <f>4.6</f>
        <v>4.5999999999999996</v>
      </c>
      <c r="H386" s="14">
        <f>28.2</f>
        <v>28.2</v>
      </c>
      <c r="I386" s="86">
        <f>7.4</f>
        <v>7.4</v>
      </c>
      <c r="J386" s="87">
        <f>data비교작업!S389*100</f>
        <v>7.8602620087336277</v>
      </c>
      <c r="K386" s="85" t="e">
        <v>#N/A</v>
      </c>
    </row>
    <row r="387" spans="1:11" ht="18" customHeight="1" x14ac:dyDescent="0.25">
      <c r="A387" s="5">
        <v>32567</v>
      </c>
      <c r="B387" s="79" t="e">
        <f>NA()</f>
        <v>#N/A</v>
      </c>
      <c r="C387" s="80" t="e">
        <v>#N/A</v>
      </c>
      <c r="D387" s="14">
        <f>54.1</f>
        <v>54.1</v>
      </c>
      <c r="E387" s="14">
        <f>5.2</f>
        <v>5.2</v>
      </c>
      <c r="F387" s="14">
        <f>1.1</f>
        <v>1.1000000000000001</v>
      </c>
      <c r="G387" s="14">
        <f>5.4</f>
        <v>5.4</v>
      </c>
      <c r="H387" s="14">
        <f>28.2</f>
        <v>28.2</v>
      </c>
      <c r="I387" s="86">
        <f>7.3</f>
        <v>7.3</v>
      </c>
      <c r="J387" s="87">
        <f>data비교작업!S390*100</f>
        <v>7.45614035087719</v>
      </c>
      <c r="K387" s="85" t="e">
        <v>#N/A</v>
      </c>
    </row>
    <row r="388" spans="1:11" ht="18" customHeight="1" x14ac:dyDescent="0.25">
      <c r="A388" s="5">
        <v>32539</v>
      </c>
      <c r="B388" s="79" t="e">
        <f>NA()</f>
        <v>#N/A</v>
      </c>
      <c r="C388" s="80" t="e">
        <v>#N/A</v>
      </c>
      <c r="D388" s="14">
        <f>54.7</f>
        <v>54.7</v>
      </c>
      <c r="E388" s="14">
        <f>11.2</f>
        <v>11.2</v>
      </c>
      <c r="F388" s="14">
        <f>1.5</f>
        <v>1.5</v>
      </c>
      <c r="G388" s="14">
        <f>6.8</f>
        <v>6.8</v>
      </c>
      <c r="H388" s="14">
        <f>28.3</f>
        <v>28.3</v>
      </c>
      <c r="I388" s="86">
        <f>7.1</f>
        <v>7.1</v>
      </c>
      <c r="J388" s="87">
        <f>data비교작업!S391*100</f>
        <v>7.5221238938053059</v>
      </c>
      <c r="K388" s="85" t="e">
        <v>#N/A</v>
      </c>
    </row>
    <row r="389" spans="1:11" ht="18" customHeight="1" x14ac:dyDescent="0.25">
      <c r="A389" s="5">
        <v>32508</v>
      </c>
      <c r="B389" s="79" t="e">
        <f>NA()</f>
        <v>#N/A</v>
      </c>
      <c r="C389" s="80" t="e">
        <v>#N/A</v>
      </c>
      <c r="D389" s="14">
        <f>56</f>
        <v>56</v>
      </c>
      <c r="E389" s="14">
        <f>22</f>
        <v>22</v>
      </c>
      <c r="F389" s="14">
        <f>2.3</f>
        <v>2.2999999999999998</v>
      </c>
      <c r="G389" s="14">
        <f>7.2</f>
        <v>7.2</v>
      </c>
      <c r="H389" s="14">
        <f>30.3</f>
        <v>30.3</v>
      </c>
      <c r="I389" s="86">
        <f>6.8</f>
        <v>6.8</v>
      </c>
      <c r="J389" s="87">
        <f>data비교작업!S392*100</f>
        <v>6.666666666666667</v>
      </c>
      <c r="K389" s="85" t="e">
        <v>#N/A</v>
      </c>
    </row>
    <row r="390" spans="1:11" ht="18" customHeight="1" x14ac:dyDescent="0.25">
      <c r="A390" s="5">
        <v>32477</v>
      </c>
      <c r="B390" s="79" t="e">
        <f>NA()</f>
        <v>#N/A</v>
      </c>
      <c r="C390" s="80" t="e">
        <v>#N/A</v>
      </c>
      <c r="D390" s="14">
        <f>55.6</f>
        <v>55.6</v>
      </c>
      <c r="E390" s="14">
        <f>31.4</f>
        <v>31.4</v>
      </c>
      <c r="F390" s="14">
        <f>3.1</f>
        <v>3.1</v>
      </c>
      <c r="G390" s="14">
        <f>7.1</f>
        <v>7.1</v>
      </c>
      <c r="H390" s="14">
        <f>32</f>
        <v>32</v>
      </c>
      <c r="I390" s="86">
        <f>7.1</f>
        <v>7.1</v>
      </c>
      <c r="J390" s="87">
        <f>data비교작업!S393*100</f>
        <v>7.1748878923766721</v>
      </c>
      <c r="K390" s="85" t="e">
        <v>#N/A</v>
      </c>
    </row>
    <row r="391" spans="1:11" ht="18" customHeight="1" x14ac:dyDescent="0.25">
      <c r="A391" s="5">
        <v>32447</v>
      </c>
      <c r="B391" s="79" t="e">
        <f>NA()</f>
        <v>#N/A</v>
      </c>
      <c r="C391" s="80" t="e">
        <v>#N/A</v>
      </c>
      <c r="D391" s="14">
        <f>55.4</f>
        <v>55.4</v>
      </c>
      <c r="E391" s="14">
        <f>30.1</f>
        <v>30.1</v>
      </c>
      <c r="F391" s="14">
        <f>2</f>
        <v>2</v>
      </c>
      <c r="G391" s="14">
        <f>6.1</f>
        <v>6.1</v>
      </c>
      <c r="H391" s="14">
        <f>30.9</f>
        <v>30.9</v>
      </c>
      <c r="I391" s="86">
        <f>7.6</f>
        <v>7.6</v>
      </c>
      <c r="J391" s="87">
        <f>data비교작업!S394*100</f>
        <v>8.1447963800904848</v>
      </c>
      <c r="K391" s="85" t="e">
        <v>#N/A</v>
      </c>
    </row>
    <row r="392" spans="1:11" ht="18" customHeight="1" x14ac:dyDescent="0.25">
      <c r="A392" s="5">
        <v>32416</v>
      </c>
      <c r="B392" s="79" t="e">
        <f>NA()</f>
        <v>#N/A</v>
      </c>
      <c r="C392" s="80" t="e">
        <v>#N/A</v>
      </c>
      <c r="D392" s="14">
        <f>54.5</f>
        <v>54.5</v>
      </c>
      <c r="E392" s="14">
        <f>21.4</f>
        <v>21.4</v>
      </c>
      <c r="F392" s="14">
        <f>2.4</f>
        <v>2.4</v>
      </c>
      <c r="G392" s="14">
        <f>6.5</f>
        <v>6.5</v>
      </c>
      <c r="H392" s="14">
        <f>31.4</f>
        <v>31.4</v>
      </c>
      <c r="I392" s="86">
        <f>8.2</f>
        <v>8.1999999999999993</v>
      </c>
      <c r="J392" s="87">
        <f>data비교작업!S395*100</f>
        <v>8.6757990867580013</v>
      </c>
      <c r="K392" s="85" t="e">
        <v>#N/A</v>
      </c>
    </row>
    <row r="393" spans="1:11" ht="18" customHeight="1" x14ac:dyDescent="0.25">
      <c r="A393" s="5">
        <v>32386</v>
      </c>
      <c r="B393" s="79" t="e">
        <f>NA()</f>
        <v>#N/A</v>
      </c>
      <c r="C393" s="80" t="e">
        <v>#N/A</v>
      </c>
      <c r="D393" s="14">
        <f>56</f>
        <v>56</v>
      </c>
      <c r="E393" s="14">
        <f>52.6</f>
        <v>52.6</v>
      </c>
      <c r="F393" s="14">
        <f>3.2</f>
        <v>3.2</v>
      </c>
      <c r="G393" s="14">
        <f>6.9</f>
        <v>6.9</v>
      </c>
      <c r="H393" s="14">
        <f>31.8</f>
        <v>31.8</v>
      </c>
      <c r="I393" s="86">
        <f>8.3</f>
        <v>8.3000000000000007</v>
      </c>
      <c r="J393" s="87">
        <f>data비교작업!S396*100</f>
        <v>9.216589861751153</v>
      </c>
      <c r="K393" s="85" t="e">
        <v>#N/A</v>
      </c>
    </row>
    <row r="394" spans="1:11" ht="18" customHeight="1" x14ac:dyDescent="0.25">
      <c r="A394" s="5">
        <v>32355</v>
      </c>
      <c r="B394" s="79" t="e">
        <f>NA()</f>
        <v>#N/A</v>
      </c>
      <c r="C394" s="80" t="e">
        <v>#N/A</v>
      </c>
      <c r="D394" s="14">
        <f>58.2</f>
        <v>58.2</v>
      </c>
      <c r="E394" s="14">
        <f>23.2</f>
        <v>23.2</v>
      </c>
      <c r="F394" s="14">
        <f>3.3</f>
        <v>3.3</v>
      </c>
      <c r="G394" s="14">
        <f>7.9</f>
        <v>7.9</v>
      </c>
      <c r="H394" s="14">
        <f>29.9</f>
        <v>29.9</v>
      </c>
      <c r="I394" s="86">
        <f>8.1</f>
        <v>8.1</v>
      </c>
      <c r="J394" s="87">
        <f>data비교작업!S397*100</f>
        <v>8.7962962962962887</v>
      </c>
      <c r="K394" s="85" t="e">
        <v>#N/A</v>
      </c>
    </row>
    <row r="395" spans="1:11" ht="18" customHeight="1" x14ac:dyDescent="0.25">
      <c r="A395" s="5">
        <v>32324</v>
      </c>
      <c r="B395" s="79" t="e">
        <f>NA()</f>
        <v>#N/A</v>
      </c>
      <c r="C395" s="80" t="e">
        <v>#N/A</v>
      </c>
      <c r="D395" s="14">
        <f>59.3</f>
        <v>59.3</v>
      </c>
      <c r="E395" s="14">
        <f>19.1</f>
        <v>19.100000000000001</v>
      </c>
      <c r="F395" s="14">
        <f>2.8</f>
        <v>2.8</v>
      </c>
      <c r="G395" s="14">
        <f>7.4</f>
        <v>7.4</v>
      </c>
      <c r="H395" s="14">
        <f>29.8</f>
        <v>29.8</v>
      </c>
      <c r="I395" s="86">
        <f>8.1</f>
        <v>8.1</v>
      </c>
      <c r="J395" s="87">
        <f>data비교작업!S398*100</f>
        <v>8.8785046728972077</v>
      </c>
      <c r="K395" s="85" t="e">
        <v>#N/A</v>
      </c>
    </row>
    <row r="396" spans="1:11" ht="18" customHeight="1" x14ac:dyDescent="0.25">
      <c r="A396" s="5">
        <v>32294</v>
      </c>
      <c r="B396" s="79" t="e">
        <f>NA()</f>
        <v>#N/A</v>
      </c>
      <c r="C396" s="80" t="e">
        <v>#N/A</v>
      </c>
      <c r="D396" s="14">
        <f>55.5</f>
        <v>55.5</v>
      </c>
      <c r="E396" s="14">
        <f>18.5</f>
        <v>18.5</v>
      </c>
      <c r="F396" s="14">
        <f>1.9</f>
        <v>1.9</v>
      </c>
      <c r="G396" s="14">
        <f>6.6</f>
        <v>6.6</v>
      </c>
      <c r="H396" s="14">
        <f>29</f>
        <v>29</v>
      </c>
      <c r="I396" s="86">
        <f>8.4</f>
        <v>8.4</v>
      </c>
      <c r="J396" s="87">
        <f>data비교작업!S399*100</f>
        <v>8.9201877934272229</v>
      </c>
      <c r="K396" s="85" t="e">
        <v>#N/A</v>
      </c>
    </row>
    <row r="397" spans="1:11" ht="18" customHeight="1" x14ac:dyDescent="0.25">
      <c r="A397" s="5">
        <v>32263</v>
      </c>
      <c r="B397" s="79" t="e">
        <f>NA()</f>
        <v>#N/A</v>
      </c>
      <c r="C397" s="80" t="e">
        <v>#N/A</v>
      </c>
      <c r="D397" s="14">
        <f>55.8</f>
        <v>55.8</v>
      </c>
      <c r="E397" s="14">
        <f>26</f>
        <v>26</v>
      </c>
      <c r="F397" s="14">
        <f>1.9</f>
        <v>1.9</v>
      </c>
      <c r="G397" s="14">
        <f>7.7</f>
        <v>7.7</v>
      </c>
      <c r="H397" s="14">
        <f>31.4</f>
        <v>31.4</v>
      </c>
      <c r="I397" s="86">
        <f>8.5</f>
        <v>8.5</v>
      </c>
      <c r="J397" s="87">
        <f>data비교작업!S400*100</f>
        <v>8.4905660377358529</v>
      </c>
      <c r="K397" s="85" t="e">
        <v>#N/A</v>
      </c>
    </row>
    <row r="398" spans="1:11" ht="18" customHeight="1" x14ac:dyDescent="0.25">
      <c r="A398" s="5">
        <v>32233</v>
      </c>
      <c r="B398" s="79" t="e">
        <f>NA()</f>
        <v>#N/A</v>
      </c>
      <c r="C398" s="80" t="e">
        <v>#N/A</v>
      </c>
      <c r="D398" s="14">
        <f>54.6</f>
        <v>54.6</v>
      </c>
      <c r="E398" s="14">
        <f>31.2</f>
        <v>31.2</v>
      </c>
      <c r="F398" s="14">
        <f>3</f>
        <v>3</v>
      </c>
      <c r="G398" s="14">
        <f>8.5</f>
        <v>8.5</v>
      </c>
      <c r="H398" s="14">
        <f>32.5</f>
        <v>32.5</v>
      </c>
      <c r="I398" s="86">
        <f>8.6</f>
        <v>8.6</v>
      </c>
      <c r="J398" s="87">
        <f>data비교작업!S401*100</f>
        <v>9.0476190476190403</v>
      </c>
      <c r="K398" s="85" t="e">
        <v>#N/A</v>
      </c>
    </row>
    <row r="399" spans="1:11" ht="18" customHeight="1" x14ac:dyDescent="0.25">
      <c r="A399" s="5">
        <v>32202</v>
      </c>
      <c r="B399" s="79" t="e">
        <f>NA()</f>
        <v>#N/A</v>
      </c>
      <c r="C399" s="80" t="e">
        <v>#N/A</v>
      </c>
      <c r="D399" s="14">
        <f>56.2</f>
        <v>56.2</v>
      </c>
      <c r="E399" s="14">
        <f>40.5</f>
        <v>40.5</v>
      </c>
      <c r="F399" s="14">
        <f>3.6</f>
        <v>3.6</v>
      </c>
      <c r="G399" s="14">
        <f>7.8</f>
        <v>7.8</v>
      </c>
      <c r="H399" s="14">
        <f>33.6</f>
        <v>33.6</v>
      </c>
      <c r="I399" s="86">
        <f>8.7</f>
        <v>8.6999999999999993</v>
      </c>
      <c r="J399" s="87">
        <f>data비교작업!S402*100</f>
        <v>9.0909090909091024</v>
      </c>
      <c r="K399" s="85" t="e">
        <v>#N/A</v>
      </c>
    </row>
    <row r="400" spans="1:11" ht="18" customHeight="1" x14ac:dyDescent="0.25">
      <c r="A400" s="5">
        <v>32173</v>
      </c>
      <c r="B400" s="79" t="e">
        <f>NA()</f>
        <v>#N/A</v>
      </c>
      <c r="C400" s="80" t="e">
        <v>#N/A</v>
      </c>
      <c r="D400" s="14">
        <f>57.5</f>
        <v>57.5</v>
      </c>
      <c r="E400" s="14">
        <f>36.6</f>
        <v>36.6</v>
      </c>
      <c r="F400" s="14">
        <f>3.2</f>
        <v>3.2</v>
      </c>
      <c r="G400" s="14">
        <f>6.2</f>
        <v>6.2</v>
      </c>
      <c r="H400" s="14">
        <f>34.8</f>
        <v>34.799999999999997</v>
      </c>
      <c r="I400" s="86">
        <f>8.6</f>
        <v>8.6</v>
      </c>
      <c r="J400" s="87">
        <f>data비교작업!S403*100</f>
        <v>9.1787439613526676</v>
      </c>
      <c r="K400" s="85" t="e">
        <v>#N/A</v>
      </c>
    </row>
    <row r="401" spans="1:11" ht="18" customHeight="1" x14ac:dyDescent="0.25">
      <c r="A401" s="5">
        <v>32142</v>
      </c>
      <c r="B401" s="79" t="e">
        <f>NA()</f>
        <v>#N/A</v>
      </c>
      <c r="C401" s="80" t="e">
        <v>#N/A</v>
      </c>
      <c r="D401" s="14">
        <f>61</f>
        <v>61</v>
      </c>
      <c r="E401" s="14">
        <f>50.4</f>
        <v>50.4</v>
      </c>
      <c r="F401" s="14">
        <f>2.7</f>
        <v>2.7</v>
      </c>
      <c r="G401" s="14">
        <f>6.1</f>
        <v>6.1</v>
      </c>
      <c r="H401" s="14">
        <f>32.3</f>
        <v>32.299999999999997</v>
      </c>
      <c r="I401" s="86">
        <f>8.7</f>
        <v>8.6999999999999993</v>
      </c>
      <c r="J401" s="87">
        <f>data비교작업!S404*100</f>
        <v>9.2233009708737796</v>
      </c>
      <c r="K401" s="85" t="e">
        <v>#N/A</v>
      </c>
    </row>
    <row r="402" spans="1:11" ht="18" customHeight="1" x14ac:dyDescent="0.25">
      <c r="A402" s="5">
        <v>32111</v>
      </c>
      <c r="B402" s="79" t="e">
        <f>NA()</f>
        <v>#N/A</v>
      </c>
      <c r="C402" s="80" t="e">
        <v>#N/A</v>
      </c>
      <c r="D402" s="14">
        <f>58.8</f>
        <v>58.8</v>
      </c>
      <c r="E402" s="14">
        <f>35.8</f>
        <v>35.799999999999997</v>
      </c>
      <c r="F402" s="14">
        <f>1.5</f>
        <v>1.5</v>
      </c>
      <c r="G402" s="14">
        <f>5.2</f>
        <v>5.2</v>
      </c>
      <c r="H402" s="14">
        <f>30</f>
        <v>30</v>
      </c>
      <c r="I402" s="86">
        <f>8.5</f>
        <v>8.5</v>
      </c>
      <c r="J402" s="87">
        <f>data비교작업!S405*100</f>
        <v>8.780487804878053</v>
      </c>
      <c r="K402" s="85" t="e">
        <v>#N/A</v>
      </c>
    </row>
    <row r="403" spans="1:11" ht="18" customHeight="1" x14ac:dyDescent="0.25">
      <c r="A403" s="5">
        <v>32081</v>
      </c>
      <c r="B403" s="79" t="e">
        <f>NA()</f>
        <v>#N/A</v>
      </c>
      <c r="C403" s="80" t="e">
        <v>#N/A</v>
      </c>
      <c r="D403" s="14">
        <f>60.7</f>
        <v>60.7</v>
      </c>
      <c r="E403" s="14">
        <f>23.7</f>
        <v>23.7</v>
      </c>
      <c r="F403" s="14">
        <f>1.9</f>
        <v>1.9</v>
      </c>
      <c r="G403" s="14">
        <f>5.2</f>
        <v>5.2</v>
      </c>
      <c r="H403" s="14">
        <f>31.2</f>
        <v>31.2</v>
      </c>
      <c r="I403" s="86">
        <f>8.2</f>
        <v>8.1999999999999993</v>
      </c>
      <c r="J403" s="87">
        <f>data비교작업!S406*100</f>
        <v>8.8669950738916281</v>
      </c>
      <c r="K403" s="85" t="e">
        <v>#N/A</v>
      </c>
    </row>
    <row r="404" spans="1:11" ht="18" customHeight="1" x14ac:dyDescent="0.25">
      <c r="A404" s="5">
        <v>32050</v>
      </c>
      <c r="B404" s="79" t="e">
        <f>NA()</f>
        <v>#N/A</v>
      </c>
      <c r="C404" s="80" t="e">
        <v>#N/A</v>
      </c>
      <c r="D404" s="14">
        <f>60</f>
        <v>60</v>
      </c>
      <c r="E404" s="14">
        <f>39.5</f>
        <v>39.5</v>
      </c>
      <c r="F404" s="14">
        <f>1.1</f>
        <v>1.1000000000000001</v>
      </c>
      <c r="G404" s="14">
        <f>4.1</f>
        <v>4.0999999999999996</v>
      </c>
      <c r="H404" s="14">
        <f>30.2</f>
        <v>30.2</v>
      </c>
      <c r="I404" s="86">
        <f>8.1</f>
        <v>8.1</v>
      </c>
      <c r="J404" s="87">
        <f>data비교작업!S407*100</f>
        <v>8.4158415841584127</v>
      </c>
      <c r="K404" s="85" t="e">
        <v>#N/A</v>
      </c>
    </row>
    <row r="405" spans="1:11" ht="18" customHeight="1" x14ac:dyDescent="0.25">
      <c r="A405" s="5">
        <v>32020</v>
      </c>
      <c r="B405" s="79" t="e">
        <f>NA()</f>
        <v>#N/A</v>
      </c>
      <c r="C405" s="80" t="e">
        <v>#N/A</v>
      </c>
      <c r="D405" s="14">
        <f>59.3</f>
        <v>59.3</v>
      </c>
      <c r="E405" s="14">
        <f>17.9</f>
        <v>17.899999999999999</v>
      </c>
      <c r="F405" s="14">
        <f>0.9</f>
        <v>0.9</v>
      </c>
      <c r="G405" s="14">
        <f>4</f>
        <v>4</v>
      </c>
      <c r="H405" s="14">
        <f>30.5</f>
        <v>30.5</v>
      </c>
      <c r="I405" s="86">
        <f>8</f>
        <v>8</v>
      </c>
      <c r="J405" s="87">
        <f>data비교작업!S408*100</f>
        <v>8.4999999999999964</v>
      </c>
      <c r="K405" s="85" t="e">
        <v>#N/A</v>
      </c>
    </row>
    <row r="406" spans="1:11" ht="18" customHeight="1" x14ac:dyDescent="0.25">
      <c r="A406" s="5">
        <v>31989</v>
      </c>
      <c r="B406" s="79" t="e">
        <f>NA()</f>
        <v>#N/A</v>
      </c>
      <c r="C406" s="80" t="e">
        <v>#N/A</v>
      </c>
      <c r="D406" s="14">
        <f>57.5</f>
        <v>57.5</v>
      </c>
      <c r="E406" s="14">
        <f>44.2</f>
        <v>44.2</v>
      </c>
      <c r="F406" s="14">
        <f>0.4</f>
        <v>0.4</v>
      </c>
      <c r="G406" s="14">
        <f>2.4</f>
        <v>2.4</v>
      </c>
      <c r="H406" s="14">
        <f>31</f>
        <v>31</v>
      </c>
      <c r="I406" s="86">
        <f>8.2</f>
        <v>8.1999999999999993</v>
      </c>
      <c r="J406" s="87">
        <f>data비교작업!S409*100</f>
        <v>8.5427135678392112</v>
      </c>
      <c r="K406" s="85" t="e">
        <v>#N/A</v>
      </c>
    </row>
    <row r="407" spans="1:11" ht="18" customHeight="1" x14ac:dyDescent="0.25">
      <c r="A407" s="5">
        <v>31958</v>
      </c>
      <c r="B407" s="79" t="e">
        <f>NA()</f>
        <v>#N/A</v>
      </c>
      <c r="C407" s="80" t="e">
        <v>#N/A</v>
      </c>
      <c r="D407" s="14">
        <f>57.4</f>
        <v>57.4</v>
      </c>
      <c r="E407" s="14">
        <f>33</f>
        <v>33</v>
      </c>
      <c r="F407" s="14">
        <f>0.5</f>
        <v>0.5</v>
      </c>
      <c r="G407" s="14">
        <f>2.8</f>
        <v>2.8</v>
      </c>
      <c r="H407" s="14">
        <f>31.5</f>
        <v>31.5</v>
      </c>
      <c r="I407" s="86">
        <f>8.2</f>
        <v>8.1999999999999993</v>
      </c>
      <c r="J407" s="87">
        <f>data비교작업!S410*100</f>
        <v>8.6294416243654783</v>
      </c>
      <c r="K407" s="85" t="e">
        <v>#N/A</v>
      </c>
    </row>
    <row r="408" spans="1:11" ht="18" customHeight="1" x14ac:dyDescent="0.25">
      <c r="A408" s="5">
        <v>31928</v>
      </c>
      <c r="B408" s="79" t="e">
        <f>NA()</f>
        <v>#N/A</v>
      </c>
      <c r="C408" s="80" t="e">
        <v>#N/A</v>
      </c>
      <c r="D408" s="14">
        <f>57.2</f>
        <v>57.2</v>
      </c>
      <c r="E408" s="14">
        <f>34.6</f>
        <v>34.6</v>
      </c>
      <c r="F408" s="14">
        <f>1</f>
        <v>1</v>
      </c>
      <c r="G408" s="14">
        <f>2.7</f>
        <v>2.7</v>
      </c>
      <c r="H408" s="14">
        <f>31.2</f>
        <v>31.2</v>
      </c>
      <c r="I408" s="86">
        <f>8.5</f>
        <v>8.5</v>
      </c>
      <c r="J408" s="87">
        <f>data비교작업!S411*100</f>
        <v>8.6734693877550981</v>
      </c>
      <c r="K408" s="85" t="e">
        <v>#N/A</v>
      </c>
    </row>
    <row r="409" spans="1:11" ht="18" customHeight="1" x14ac:dyDescent="0.25">
      <c r="A409" s="5">
        <v>31897</v>
      </c>
      <c r="B409" s="79" t="e">
        <f>NA()</f>
        <v>#N/A</v>
      </c>
      <c r="C409" s="80" t="e">
        <v>#N/A</v>
      </c>
      <c r="D409" s="14">
        <f>55.5</f>
        <v>55.5</v>
      </c>
      <c r="E409" s="14">
        <f>43.6</f>
        <v>43.6</v>
      </c>
      <c r="F409" s="14">
        <f>0.7</f>
        <v>0.7</v>
      </c>
      <c r="G409" s="14">
        <f>1.8</f>
        <v>1.8</v>
      </c>
      <c r="H409" s="14">
        <f>30.4</f>
        <v>30.4</v>
      </c>
      <c r="I409" s="86">
        <f>8.7</f>
        <v>8.6999999999999993</v>
      </c>
      <c r="J409" s="87">
        <f>data비교작업!S412*100</f>
        <v>9.2783505154639219</v>
      </c>
      <c r="K409" s="85" t="e">
        <v>#N/A</v>
      </c>
    </row>
    <row r="410" spans="1:11" ht="18" customHeight="1" x14ac:dyDescent="0.25">
      <c r="A410" s="5">
        <v>31867</v>
      </c>
      <c r="B410" s="79" t="e">
        <f>NA()</f>
        <v>#N/A</v>
      </c>
      <c r="C410" s="80" t="e">
        <v>#N/A</v>
      </c>
      <c r="D410" s="14">
        <f>55</f>
        <v>55</v>
      </c>
      <c r="E410" s="14">
        <f>42.4</f>
        <v>42.4</v>
      </c>
      <c r="F410" s="14">
        <f>-0.6</f>
        <v>-0.6</v>
      </c>
      <c r="G410" s="14">
        <f>1.1</f>
        <v>1.1000000000000001</v>
      </c>
      <c r="H410" s="14">
        <f>27.6</f>
        <v>27.6</v>
      </c>
      <c r="I410" s="86">
        <f>9</f>
        <v>9</v>
      </c>
      <c r="J410" s="87">
        <f>data비교작업!S413*100</f>
        <v>9.3750000000000036</v>
      </c>
      <c r="K410" s="85" t="e">
        <v>#N/A</v>
      </c>
    </row>
    <row r="411" spans="1:11" ht="18" customHeight="1" x14ac:dyDescent="0.25">
      <c r="A411" s="5">
        <v>31836</v>
      </c>
      <c r="B411" s="79" t="e">
        <f>NA()</f>
        <v>#N/A</v>
      </c>
      <c r="C411" s="80" t="e">
        <v>#N/A</v>
      </c>
      <c r="D411" s="14">
        <f>52.6</f>
        <v>52.6</v>
      </c>
      <c r="E411" s="14">
        <f>27.3</f>
        <v>27.3</v>
      </c>
      <c r="F411" s="14">
        <f>-1.8</f>
        <v>-1.8</v>
      </c>
      <c r="G411" s="14">
        <f>0.5</f>
        <v>0.5</v>
      </c>
      <c r="H411" s="14">
        <f>27.6</f>
        <v>27.6</v>
      </c>
      <c r="I411" s="86">
        <f>9</f>
        <v>9</v>
      </c>
      <c r="J411" s="87">
        <f>data비교작업!S414*100</f>
        <v>9.9999999999999929</v>
      </c>
      <c r="K411" s="85" t="e">
        <v>#N/A</v>
      </c>
    </row>
    <row r="412" spans="1:11" ht="18" customHeight="1" x14ac:dyDescent="0.25">
      <c r="A412" s="5">
        <v>31808</v>
      </c>
      <c r="B412" s="79" t="e">
        <f>NA()</f>
        <v>#N/A</v>
      </c>
      <c r="C412" s="80" t="e">
        <v>#N/A</v>
      </c>
      <c r="D412" s="14">
        <f>54.9</f>
        <v>54.9</v>
      </c>
      <c r="E412" s="14">
        <f>43</f>
        <v>43</v>
      </c>
      <c r="F412" s="14">
        <f>-2.7</f>
        <v>-2.7</v>
      </c>
      <c r="G412" s="14">
        <f>0.9</f>
        <v>0.9</v>
      </c>
      <c r="H412" s="14">
        <f>26.4</f>
        <v>26.4</v>
      </c>
      <c r="I412" s="86">
        <f>9</f>
        <v>9</v>
      </c>
      <c r="J412" s="87">
        <f>data비교작업!S415*100</f>
        <v>9.5238095238095291</v>
      </c>
      <c r="K412" s="85" t="e">
        <v>#N/A</v>
      </c>
    </row>
    <row r="413" spans="1:11" ht="18" customHeight="1" x14ac:dyDescent="0.25">
      <c r="A413" s="5">
        <v>31777</v>
      </c>
      <c r="B413" s="79" t="e">
        <f>NA()</f>
        <v>#N/A</v>
      </c>
      <c r="C413" s="80" t="e">
        <v>#N/A</v>
      </c>
      <c r="D413" s="14">
        <f>50.5</f>
        <v>50.5</v>
      </c>
      <c r="E413" s="14">
        <f>-8.3</f>
        <v>-8.3000000000000007</v>
      </c>
      <c r="F413" s="14">
        <f>-2.6</f>
        <v>-2.6</v>
      </c>
      <c r="G413" s="14">
        <f>1.4</f>
        <v>1.4</v>
      </c>
      <c r="H413" s="14" t="e">
        <f>NA()</f>
        <v>#N/A</v>
      </c>
      <c r="I413" s="86">
        <f>9.4</f>
        <v>9.4</v>
      </c>
      <c r="J413" s="87">
        <f>data비교작업!S416*100</f>
        <v>10.160427807486643</v>
      </c>
      <c r="K413" s="85" t="e">
        <v>#N/A</v>
      </c>
    </row>
    <row r="414" spans="1:11" ht="18" customHeight="1" x14ac:dyDescent="0.25">
      <c r="A414" s="5">
        <v>31746</v>
      </c>
      <c r="B414" s="79" t="e">
        <f>NA()</f>
        <v>#N/A</v>
      </c>
      <c r="C414" s="80" t="e">
        <v>#N/A</v>
      </c>
      <c r="D414" s="14">
        <f>51.2</f>
        <v>51.2</v>
      </c>
      <c r="E414" s="14">
        <f>6.1</f>
        <v>6.1</v>
      </c>
      <c r="F414" s="14">
        <f>-2.2</f>
        <v>-2.2000000000000002</v>
      </c>
      <c r="G414" s="14">
        <f>2</f>
        <v>2</v>
      </c>
      <c r="H414" s="14" t="e">
        <f>NA()</f>
        <v>#N/A</v>
      </c>
      <c r="I414" s="86">
        <f>9.6</f>
        <v>9.6</v>
      </c>
      <c r="J414" s="87">
        <f>data비교작업!S417*100</f>
        <v>10.810810810810811</v>
      </c>
      <c r="K414" s="85" t="e">
        <v>#N/A</v>
      </c>
    </row>
    <row r="415" spans="1:11" ht="18" customHeight="1" x14ac:dyDescent="0.25">
      <c r="A415" s="5">
        <v>31716</v>
      </c>
      <c r="B415" s="79" t="e">
        <f>NA()</f>
        <v>#N/A</v>
      </c>
      <c r="C415" s="80" t="e">
        <v>#N/A</v>
      </c>
      <c r="D415" s="14">
        <f>51.2</f>
        <v>51.2</v>
      </c>
      <c r="E415" s="14">
        <f>22.7</f>
        <v>22.7</v>
      </c>
      <c r="F415" s="14">
        <f>-2.7</f>
        <v>-2.7</v>
      </c>
      <c r="G415" s="14">
        <f>1</f>
        <v>1</v>
      </c>
      <c r="H415" s="14" t="e">
        <f>NA()</f>
        <v>#N/A</v>
      </c>
      <c r="I415" s="86">
        <f>9.9</f>
        <v>9.9</v>
      </c>
      <c r="J415" s="87">
        <f>data비교작업!S418*100</f>
        <v>10.326086956521753</v>
      </c>
      <c r="K415" s="85" t="e">
        <v>#N/A</v>
      </c>
    </row>
    <row r="416" spans="1:11" ht="18" customHeight="1" x14ac:dyDescent="0.25">
      <c r="A416" s="5">
        <v>31685</v>
      </c>
      <c r="B416" s="79" t="e">
        <f>NA()</f>
        <v>#N/A</v>
      </c>
      <c r="C416" s="80" t="e">
        <v>#N/A</v>
      </c>
      <c r="D416" s="14">
        <f>52.4</f>
        <v>52.4</v>
      </c>
      <c r="E416" s="14">
        <f>22.6</f>
        <v>22.6</v>
      </c>
      <c r="F416" s="14">
        <f>-1.7</f>
        <v>-1.7</v>
      </c>
      <c r="G416" s="14">
        <f>2.3</f>
        <v>2.2999999999999998</v>
      </c>
      <c r="H416" s="14" t="e">
        <f>NA()</f>
        <v>#N/A</v>
      </c>
      <c r="I416" s="86">
        <f>9.8</f>
        <v>9.8000000000000007</v>
      </c>
      <c r="J416" s="87">
        <f>data비교작업!S419*100</f>
        <v>10.382513661202179</v>
      </c>
      <c r="K416" s="85" t="e">
        <v>#N/A</v>
      </c>
    </row>
    <row r="417" spans="1:11" ht="18" customHeight="1" x14ac:dyDescent="0.25">
      <c r="A417" s="5">
        <v>31655</v>
      </c>
      <c r="B417" s="79" t="e">
        <f>NA()</f>
        <v>#N/A</v>
      </c>
      <c r="C417" s="80" t="e">
        <v>#N/A</v>
      </c>
      <c r="D417" s="14">
        <f>52.6</f>
        <v>52.6</v>
      </c>
      <c r="E417" s="14">
        <f>25.2</f>
        <v>25.2</v>
      </c>
      <c r="F417" s="14">
        <f>-1.7</f>
        <v>-1.7</v>
      </c>
      <c r="G417" s="14">
        <f>2.8</f>
        <v>2.8</v>
      </c>
      <c r="H417" s="14" t="e">
        <f>NA()</f>
        <v>#N/A</v>
      </c>
      <c r="I417" s="86">
        <f>9.8</f>
        <v>9.8000000000000007</v>
      </c>
      <c r="J417" s="87">
        <f>data비교작업!S420*100</f>
        <v>10.497237569060765</v>
      </c>
      <c r="K417" s="85" t="e">
        <v>#N/A</v>
      </c>
    </row>
    <row r="418" spans="1:11" ht="18" customHeight="1" x14ac:dyDescent="0.25">
      <c r="A418" s="5">
        <v>31624</v>
      </c>
      <c r="B418" s="79" t="e">
        <f>NA()</f>
        <v>#N/A</v>
      </c>
      <c r="C418" s="80" t="e">
        <v>#N/A</v>
      </c>
      <c r="D418" s="14">
        <f>48</f>
        <v>48</v>
      </c>
      <c r="E418" s="14">
        <f>18.4</f>
        <v>18.399999999999999</v>
      </c>
      <c r="F418" s="14">
        <f>-1.7</f>
        <v>-1.7</v>
      </c>
      <c r="G418" s="14">
        <f>3.1</f>
        <v>3.1</v>
      </c>
      <c r="H418" s="14" t="e">
        <f>NA()</f>
        <v>#N/A</v>
      </c>
      <c r="I418" s="86">
        <f>9.7</f>
        <v>9.6999999999999993</v>
      </c>
      <c r="J418" s="87">
        <f>data비교작업!S421*100</f>
        <v>11.173184357541901</v>
      </c>
      <c r="K418" s="85" t="e">
        <v>#N/A</v>
      </c>
    </row>
    <row r="419" spans="1:11" ht="18" customHeight="1" x14ac:dyDescent="0.25">
      <c r="A419" s="5">
        <v>31593</v>
      </c>
      <c r="B419" s="79" t="e">
        <f>NA()</f>
        <v>#N/A</v>
      </c>
      <c r="C419" s="80" t="e">
        <v>#N/A</v>
      </c>
      <c r="D419" s="14">
        <f>50.5</f>
        <v>50.5</v>
      </c>
      <c r="E419" s="14">
        <f>18.6</f>
        <v>18.600000000000001</v>
      </c>
      <c r="F419" s="14">
        <f>-1.7</f>
        <v>-1.7</v>
      </c>
      <c r="G419" s="14">
        <f>3</f>
        <v>3</v>
      </c>
      <c r="H419" s="14" t="e">
        <f>NA()</f>
        <v>#N/A</v>
      </c>
      <c r="I419" s="86">
        <f>9.8</f>
        <v>9.8000000000000007</v>
      </c>
      <c r="J419" s="87">
        <f>data비교작업!S422*100</f>
        <v>10.674157303370778</v>
      </c>
      <c r="K419" s="85" t="e">
        <v>#N/A</v>
      </c>
    </row>
    <row r="420" spans="1:11" ht="18" customHeight="1" x14ac:dyDescent="0.25">
      <c r="A420" s="5">
        <v>31563</v>
      </c>
      <c r="B420" s="79" t="e">
        <f>NA()</f>
        <v>#N/A</v>
      </c>
      <c r="C420" s="80" t="e">
        <v>#N/A</v>
      </c>
      <c r="D420" s="14">
        <f>53.4</f>
        <v>53.4</v>
      </c>
      <c r="E420" s="14">
        <f>21.4</f>
        <v>21.4</v>
      </c>
      <c r="F420" s="14">
        <f>-1.4</f>
        <v>-1.4</v>
      </c>
      <c r="G420" s="14">
        <f>3.3</f>
        <v>3.3</v>
      </c>
      <c r="H420" s="14" t="e">
        <f>NA()</f>
        <v>#N/A</v>
      </c>
      <c r="I420" s="86">
        <f>9.6</f>
        <v>9.6</v>
      </c>
      <c r="J420" s="87">
        <f>data비교작업!S423*100</f>
        <v>10.73446327683617</v>
      </c>
      <c r="K420" s="85" t="e">
        <v>#N/A</v>
      </c>
    </row>
    <row r="421" spans="1:11" ht="18" customHeight="1" x14ac:dyDescent="0.25">
      <c r="A421" s="5">
        <v>31532</v>
      </c>
      <c r="B421" s="79" t="e">
        <f>NA()</f>
        <v>#N/A</v>
      </c>
      <c r="C421" s="80" t="e">
        <v>#N/A</v>
      </c>
      <c r="D421" s="14">
        <f>49.7</f>
        <v>49.7</v>
      </c>
      <c r="E421" s="14">
        <f>8.1</f>
        <v>8.1</v>
      </c>
      <c r="F421" s="14">
        <f>-1.6</f>
        <v>-1.6</v>
      </c>
      <c r="G421" s="14">
        <f>3.4</f>
        <v>3.4</v>
      </c>
      <c r="H421" s="14" t="e">
        <f>NA()</f>
        <v>#N/A</v>
      </c>
      <c r="I421" s="86">
        <f>9.4</f>
        <v>9.4</v>
      </c>
      <c r="J421" s="87">
        <f>data비교작업!S424*100</f>
        <v>9.6045197740112958</v>
      </c>
      <c r="K421" s="85" t="e">
        <v>#N/A</v>
      </c>
    </row>
    <row r="422" spans="1:11" ht="18" customHeight="1" x14ac:dyDescent="0.25">
      <c r="A422" s="5">
        <v>31502</v>
      </c>
      <c r="B422" s="79" t="e">
        <f>NA()</f>
        <v>#N/A</v>
      </c>
      <c r="C422" s="80" t="e">
        <v>#N/A</v>
      </c>
      <c r="D422" s="14">
        <f>51</f>
        <v>51</v>
      </c>
      <c r="E422" s="14">
        <f>9.3</f>
        <v>9.3000000000000007</v>
      </c>
      <c r="F422" s="14">
        <f>-0.6</f>
        <v>-0.6</v>
      </c>
      <c r="G422" s="14">
        <f>3.6</f>
        <v>3.6</v>
      </c>
      <c r="H422" s="14" t="e">
        <f>NA()</f>
        <v>#N/A</v>
      </c>
      <c r="I422" s="86">
        <f>9</f>
        <v>9</v>
      </c>
      <c r="J422" s="87">
        <f>data비교작업!S425*100</f>
        <v>9.71428571428571</v>
      </c>
      <c r="K422" s="85" t="e">
        <v>#N/A</v>
      </c>
    </row>
    <row r="423" spans="1:11" ht="18" customHeight="1" x14ac:dyDescent="0.25">
      <c r="A423" s="5">
        <v>31471</v>
      </c>
      <c r="B423" s="79" t="e">
        <f>NA()</f>
        <v>#N/A</v>
      </c>
      <c r="C423" s="80" t="e">
        <v>#N/A</v>
      </c>
      <c r="D423" s="14">
        <f>51</f>
        <v>51</v>
      </c>
      <c r="E423" s="14">
        <f>27.6</f>
        <v>27.6</v>
      </c>
      <c r="F423" s="14">
        <f>-0.1</f>
        <v>-0.1</v>
      </c>
      <c r="G423" s="14">
        <f>3.5</f>
        <v>3.5</v>
      </c>
      <c r="H423" s="14" t="e">
        <f>NA()</f>
        <v>#N/A</v>
      </c>
      <c r="I423" s="86">
        <f>8.8</f>
        <v>8.8000000000000007</v>
      </c>
      <c r="J423" s="87">
        <f>data비교작업!S426*100</f>
        <v>9.1954022988505848</v>
      </c>
      <c r="K423" s="85" t="e">
        <v>#N/A</v>
      </c>
    </row>
    <row r="424" spans="1:11" ht="18" customHeight="1" x14ac:dyDescent="0.25">
      <c r="A424" s="5">
        <v>31443</v>
      </c>
      <c r="B424" s="79" t="e">
        <f>NA()</f>
        <v>#N/A</v>
      </c>
      <c r="C424" s="80" t="e">
        <v>#N/A</v>
      </c>
      <c r="D424" s="14">
        <f>51.2</f>
        <v>51.2</v>
      </c>
      <c r="E424" s="14">
        <f>23.4</f>
        <v>23.4</v>
      </c>
      <c r="F424" s="14">
        <f>0.5</f>
        <v>0.5</v>
      </c>
      <c r="G424" s="14">
        <f>3.7</f>
        <v>3.7</v>
      </c>
      <c r="H424" s="14" t="e">
        <f>NA()</f>
        <v>#N/A</v>
      </c>
      <c r="I424" s="86">
        <f>8.7</f>
        <v>8.6999999999999993</v>
      </c>
      <c r="J424" s="87">
        <f>data비교작업!S427*100</f>
        <v>9.2485549132947842</v>
      </c>
      <c r="K424" s="85" t="e">
        <v>#N/A</v>
      </c>
    </row>
    <row r="425" spans="1:11" ht="18" customHeight="1" x14ac:dyDescent="0.25">
      <c r="A425" s="5">
        <v>31412</v>
      </c>
      <c r="B425" s="79" t="e">
        <f>NA()</f>
        <v>#N/A</v>
      </c>
      <c r="C425" s="80" t="e">
        <v>#N/A</v>
      </c>
      <c r="D425" s="14">
        <f>50.7</f>
        <v>50.7</v>
      </c>
      <c r="E425" s="14">
        <f>26.8</f>
        <v>26.8</v>
      </c>
      <c r="F425" s="14">
        <f>0.6</f>
        <v>0.6</v>
      </c>
      <c r="G425" s="14">
        <f>3</f>
        <v>3</v>
      </c>
      <c r="H425" s="14" t="e">
        <f>NA()</f>
        <v>#N/A</v>
      </c>
      <c r="I425" s="86">
        <f>8.6</f>
        <v>8.6</v>
      </c>
      <c r="J425" s="87">
        <f>data비교작업!S428*100</f>
        <v>8.720930232558139</v>
      </c>
      <c r="K425" s="85" t="e">
        <v>#N/A</v>
      </c>
    </row>
    <row r="426" spans="1:11" ht="18" customHeight="1" x14ac:dyDescent="0.25">
      <c r="A426" s="5">
        <v>31381</v>
      </c>
      <c r="B426" s="79" t="e">
        <f>NA()</f>
        <v>#N/A</v>
      </c>
      <c r="C426" s="80" t="e">
        <v>#N/A</v>
      </c>
      <c r="D426" s="14">
        <f>52</f>
        <v>52</v>
      </c>
      <c r="E426" s="14">
        <f>22.9</f>
        <v>22.9</v>
      </c>
      <c r="F426" s="14">
        <f>0.3</f>
        <v>0.3</v>
      </c>
      <c r="G426" s="14">
        <f>2.4</f>
        <v>2.4</v>
      </c>
      <c r="H426" s="14" t="e">
        <f>NA()</f>
        <v>#N/A</v>
      </c>
      <c r="I426" s="86">
        <f>8.4</f>
        <v>8.4</v>
      </c>
      <c r="J426" s="87">
        <f>data비교작업!S429*100</f>
        <v>8.1871345029239677</v>
      </c>
      <c r="K426" s="85" t="e">
        <v>#N/A</v>
      </c>
    </row>
    <row r="427" spans="1:11" ht="18" customHeight="1" x14ac:dyDescent="0.25">
      <c r="A427" s="5">
        <v>31351</v>
      </c>
      <c r="B427" s="79" t="e">
        <f>NA()</f>
        <v>#N/A</v>
      </c>
      <c r="C427" s="80" t="e">
        <v>#N/A</v>
      </c>
      <c r="D427" s="14">
        <f>50.9</f>
        <v>50.9</v>
      </c>
      <c r="E427" s="14">
        <f>-3.6</f>
        <v>-3.6</v>
      </c>
      <c r="F427" s="14">
        <f>0.6</f>
        <v>0.6</v>
      </c>
      <c r="G427" s="14">
        <f>3.4</f>
        <v>3.4</v>
      </c>
      <c r="H427" s="14" t="e">
        <f>NA()</f>
        <v>#N/A</v>
      </c>
      <c r="I427" s="86">
        <f>8.1</f>
        <v>8.1</v>
      </c>
      <c r="J427" s="87">
        <f>data비교작업!S430*100</f>
        <v>8.875739644970416</v>
      </c>
      <c r="K427" s="85" t="e">
        <v>#N/A</v>
      </c>
    </row>
    <row r="428" spans="1:11" ht="18" customHeight="1" x14ac:dyDescent="0.25">
      <c r="A428" s="5">
        <v>31320</v>
      </c>
      <c r="B428" s="79" t="e">
        <f>NA()</f>
        <v>#N/A</v>
      </c>
      <c r="C428" s="80" t="e">
        <v>#N/A</v>
      </c>
      <c r="D428" s="14">
        <f>49.9</f>
        <v>49.9</v>
      </c>
      <c r="E428" s="14">
        <f>13</f>
        <v>13</v>
      </c>
      <c r="F428" s="14">
        <f>-0.3</f>
        <v>-0.3</v>
      </c>
      <c r="G428" s="14">
        <f>2.6</f>
        <v>2.6</v>
      </c>
      <c r="H428" s="14" t="e">
        <f>NA()</f>
        <v>#N/A</v>
      </c>
      <c r="I428" s="86">
        <f>8.2</f>
        <v>8.1999999999999993</v>
      </c>
      <c r="J428" s="87">
        <f>data비교작업!S431*100</f>
        <v>9.5808383233533014</v>
      </c>
      <c r="K428" s="85" t="e">
        <v>#N/A</v>
      </c>
    </row>
    <row r="429" spans="1:11" ht="18" customHeight="1" x14ac:dyDescent="0.25">
      <c r="A429" s="5">
        <v>31290</v>
      </c>
      <c r="B429" s="79" t="e">
        <f>NA()</f>
        <v>#N/A</v>
      </c>
      <c r="C429" s="80" t="e">
        <v>#N/A</v>
      </c>
      <c r="D429" s="14">
        <f>47.7</f>
        <v>47.7</v>
      </c>
      <c r="E429" s="14">
        <f>1.5</f>
        <v>1.5</v>
      </c>
      <c r="F429" s="14">
        <f>0.5</f>
        <v>0.5</v>
      </c>
      <c r="G429" s="14">
        <f>2.6</f>
        <v>2.6</v>
      </c>
      <c r="H429" s="14" t="e">
        <f>NA()</f>
        <v>#N/A</v>
      </c>
      <c r="I429" s="86">
        <f>8</f>
        <v>8</v>
      </c>
      <c r="J429" s="87">
        <f>data비교작업!S432*100</f>
        <v>8.3832335329341454</v>
      </c>
      <c r="K429" s="85" t="e">
        <v>#N/A</v>
      </c>
    </row>
    <row r="430" spans="1:11" ht="18" customHeight="1" x14ac:dyDescent="0.25">
      <c r="A430" s="5">
        <v>31259</v>
      </c>
      <c r="B430" s="79" t="e">
        <f>NA()</f>
        <v>#N/A</v>
      </c>
      <c r="C430" s="80" t="e">
        <v>#N/A</v>
      </c>
      <c r="D430" s="14">
        <f>47.9</f>
        <v>47.9</v>
      </c>
      <c r="E430" s="14">
        <f>0.1</f>
        <v>0.1</v>
      </c>
      <c r="F430" s="14">
        <f>1.4</f>
        <v>1.4</v>
      </c>
      <c r="G430" s="14">
        <f>3</f>
        <v>3</v>
      </c>
      <c r="H430" s="14" t="e">
        <f>NA()</f>
        <v>#N/A</v>
      </c>
      <c r="I430" s="86">
        <f>7.7</f>
        <v>7.7</v>
      </c>
      <c r="J430" s="87">
        <f>data비교작업!S433*100</f>
        <v>7.8313253012048012</v>
      </c>
      <c r="K430" s="85" t="e">
        <v>#N/A</v>
      </c>
    </row>
    <row r="431" spans="1:11" ht="18" customHeight="1" x14ac:dyDescent="0.25">
      <c r="A431" s="5">
        <v>31228</v>
      </c>
      <c r="B431" s="79" t="e">
        <f>NA()</f>
        <v>#N/A</v>
      </c>
      <c r="C431" s="80" t="e">
        <v>#N/A</v>
      </c>
      <c r="D431" s="14">
        <f>47.8</f>
        <v>47.8</v>
      </c>
      <c r="E431" s="14">
        <f>-3.4</f>
        <v>-3.4</v>
      </c>
      <c r="F431" s="14">
        <f>1.6</f>
        <v>1.6</v>
      </c>
      <c r="G431" s="14">
        <f>3</f>
        <v>3</v>
      </c>
      <c r="H431" s="14" t="e">
        <f>NA()</f>
        <v>#N/A</v>
      </c>
      <c r="I431" s="86">
        <f>7.8</f>
        <v>7.8</v>
      </c>
      <c r="J431" s="87">
        <f>data비교작업!S434*100</f>
        <v>7.8787878787878833</v>
      </c>
      <c r="K431" s="85" t="e">
        <v>#N/A</v>
      </c>
    </row>
    <row r="432" spans="1:11" ht="18" customHeight="1" x14ac:dyDescent="0.25">
      <c r="A432" s="5">
        <v>31198</v>
      </c>
      <c r="B432" s="79" t="e">
        <f>NA()</f>
        <v>#N/A</v>
      </c>
      <c r="C432" s="80" t="e">
        <v>#N/A</v>
      </c>
      <c r="D432" s="14">
        <f>47.1</f>
        <v>47.1</v>
      </c>
      <c r="E432" s="14">
        <f>-0.1</f>
        <v>-0.1</v>
      </c>
      <c r="F432" s="14">
        <f>1.2</f>
        <v>1.2</v>
      </c>
      <c r="G432" s="14">
        <f>2.3</f>
        <v>2.2999999999999998</v>
      </c>
      <c r="H432" s="14" t="e">
        <f>NA()</f>
        <v>#N/A</v>
      </c>
      <c r="I432" s="86">
        <f>7.8</f>
        <v>7.8</v>
      </c>
      <c r="J432" s="87">
        <f>data비교작업!S435*100</f>
        <v>7.9268292682926882</v>
      </c>
      <c r="K432" s="85" t="e">
        <v>#N/A</v>
      </c>
    </row>
    <row r="433" spans="1:11" ht="18" customHeight="1" x14ac:dyDescent="0.25">
      <c r="A433" s="5">
        <v>31167</v>
      </c>
      <c r="B433" s="79" t="e">
        <f>NA()</f>
        <v>#N/A</v>
      </c>
      <c r="C433" s="80" t="e">
        <v>#N/A</v>
      </c>
      <c r="D433" s="14">
        <f>48.2</f>
        <v>48.2</v>
      </c>
      <c r="E433" s="14">
        <f>2.1</f>
        <v>2.1</v>
      </c>
      <c r="F433" s="14">
        <f>0.9</f>
        <v>0.9</v>
      </c>
      <c r="G433" s="14">
        <f>1.5</f>
        <v>1.5</v>
      </c>
      <c r="H433" s="14" t="e">
        <f>NA()</f>
        <v>#N/A</v>
      </c>
      <c r="I433" s="86">
        <f>8.2</f>
        <v>8.1999999999999993</v>
      </c>
      <c r="J433" s="87">
        <f>data비교작업!S436*100</f>
        <v>8.5889570552147152</v>
      </c>
      <c r="K433" s="85" t="e">
        <v>#N/A</v>
      </c>
    </row>
    <row r="434" spans="1:11" ht="18" customHeight="1" x14ac:dyDescent="0.25">
      <c r="A434" s="5">
        <v>31137</v>
      </c>
      <c r="B434" s="79" t="e">
        <f>NA()</f>
        <v>#N/A</v>
      </c>
      <c r="C434" s="80" t="e">
        <v>#N/A</v>
      </c>
      <c r="D434" s="14">
        <f>47.8</f>
        <v>47.8</v>
      </c>
      <c r="E434" s="14">
        <f>2.8</f>
        <v>2.8</v>
      </c>
      <c r="F434" s="14">
        <f>0.9</f>
        <v>0.9</v>
      </c>
      <c r="G434" s="14">
        <f>1.7</f>
        <v>1.7</v>
      </c>
      <c r="H434" s="14" t="e">
        <f>NA()</f>
        <v>#N/A</v>
      </c>
      <c r="I434" s="86">
        <f>8</f>
        <v>8</v>
      </c>
      <c r="J434" s="87">
        <f>data비교작업!S437*100</f>
        <v>8.0246913580246968</v>
      </c>
      <c r="K434" s="85" t="e">
        <v>#N/A</v>
      </c>
    </row>
    <row r="435" spans="1:11" ht="18" customHeight="1" x14ac:dyDescent="0.25">
      <c r="A435" s="5">
        <v>31106</v>
      </c>
      <c r="B435" s="79" t="e">
        <f>NA()</f>
        <v>#N/A</v>
      </c>
      <c r="C435" s="80" t="e">
        <v>#N/A</v>
      </c>
      <c r="D435" s="14">
        <f>49.9</f>
        <v>49.9</v>
      </c>
      <c r="E435" s="14">
        <f>-9.7</f>
        <v>-9.6999999999999993</v>
      </c>
      <c r="F435" s="14">
        <f>1.4</f>
        <v>1.4</v>
      </c>
      <c r="G435" s="14">
        <f>1.9</f>
        <v>1.9</v>
      </c>
      <c r="H435" s="14" t="e">
        <f>NA()</f>
        <v>#N/A</v>
      </c>
      <c r="I435" s="86">
        <f>7.8</f>
        <v>7.8</v>
      </c>
      <c r="J435" s="87">
        <f>data비교작업!S438*100</f>
        <v>8.0745341614906643</v>
      </c>
      <c r="K435" s="85" t="e">
        <v>#N/A</v>
      </c>
    </row>
    <row r="436" spans="1:11" ht="18" customHeight="1" x14ac:dyDescent="0.25">
      <c r="A436" s="5">
        <v>31078</v>
      </c>
      <c r="B436" s="79" t="e">
        <f>NA()</f>
        <v>#N/A</v>
      </c>
      <c r="C436" s="80" t="e">
        <v>#N/A</v>
      </c>
      <c r="D436" s="14">
        <f>50.3</f>
        <v>50.3</v>
      </c>
      <c r="E436" s="14">
        <f>-19.4</f>
        <v>-19.399999999999999</v>
      </c>
      <c r="F436" s="14">
        <f>1.7</f>
        <v>1.7</v>
      </c>
      <c r="G436" s="14">
        <f>2.1</f>
        <v>2.1</v>
      </c>
      <c r="H436" s="14" t="e">
        <f>NA()</f>
        <v>#N/A</v>
      </c>
      <c r="I436" s="86">
        <f>7.9</f>
        <v>7.9</v>
      </c>
      <c r="J436" s="87">
        <f>data비교작업!S439*100</f>
        <v>8.1250000000000036</v>
      </c>
      <c r="K436" s="85" t="e">
        <v>#N/A</v>
      </c>
    </row>
    <row r="437" spans="1:11" ht="18" customHeight="1" x14ac:dyDescent="0.25">
      <c r="A437" s="5">
        <v>31047</v>
      </c>
      <c r="B437" s="79" t="e">
        <f>NA()</f>
        <v>#N/A</v>
      </c>
      <c r="C437" s="80" t="e">
        <v>#N/A</v>
      </c>
      <c r="D437" s="14">
        <f>50.6</f>
        <v>50.6</v>
      </c>
      <c r="E437" s="14">
        <f>21.9</f>
        <v>21.9</v>
      </c>
      <c r="F437" s="14">
        <f>1.6</f>
        <v>1.6</v>
      </c>
      <c r="G437" s="14">
        <f>2.4</f>
        <v>2.4</v>
      </c>
      <c r="H437" s="14" t="e">
        <f>NA()</f>
        <v>#N/A</v>
      </c>
      <c r="I437" s="86">
        <f>7.9</f>
        <v>7.9</v>
      </c>
      <c r="J437" s="87">
        <f>data비교작업!S440*100</f>
        <v>8.1761006289308096</v>
      </c>
      <c r="K437" s="85" t="e">
        <v>#N/A</v>
      </c>
    </row>
    <row r="438" spans="1:11" ht="18" customHeight="1" x14ac:dyDescent="0.25">
      <c r="A438" s="5">
        <v>31016</v>
      </c>
      <c r="B438" s="79" t="e">
        <f>NA()</f>
        <v>#N/A</v>
      </c>
      <c r="C438" s="80" t="e">
        <v>#N/A</v>
      </c>
      <c r="D438" s="14">
        <f>50.3</f>
        <v>50.3</v>
      </c>
      <c r="E438" s="14">
        <f>29.4</f>
        <v>29.4</v>
      </c>
      <c r="F438" s="14">
        <f>1.5</f>
        <v>1.5</v>
      </c>
      <c r="G438" s="14">
        <f>2.7</f>
        <v>2.7</v>
      </c>
      <c r="H438" s="14" t="e">
        <f>NA()</f>
        <v>#N/A</v>
      </c>
      <c r="I438" s="86">
        <f>7.7</f>
        <v>7.7</v>
      </c>
      <c r="J438" s="87">
        <f>data비교작업!S441*100</f>
        <v>8.2278481012658258</v>
      </c>
      <c r="K438" s="85" t="e">
        <v>#N/A</v>
      </c>
    </row>
    <row r="439" spans="1:11" ht="18" customHeight="1" x14ac:dyDescent="0.25">
      <c r="A439" s="5">
        <v>30986</v>
      </c>
      <c r="B439" s="79" t="e">
        <f>NA()</f>
        <v>#N/A</v>
      </c>
      <c r="C439" s="80" t="e">
        <v>#N/A</v>
      </c>
      <c r="D439" s="14">
        <f>50.8</f>
        <v>50.8</v>
      </c>
      <c r="E439" s="14">
        <f>4.5</f>
        <v>4.5</v>
      </c>
      <c r="F439" s="14">
        <f>1.9</f>
        <v>1.9</v>
      </c>
      <c r="G439" s="14">
        <f>2.7</f>
        <v>2.7</v>
      </c>
      <c r="H439" s="14" t="e">
        <f>NA()</f>
        <v>#N/A</v>
      </c>
      <c r="I439" s="86">
        <f>7.1</f>
        <v>7.1</v>
      </c>
      <c r="J439" s="87">
        <f>data비교작업!S442*100</f>
        <v>7.6433121019108237</v>
      </c>
      <c r="K439" s="85" t="e">
        <v>#N/A</v>
      </c>
    </row>
    <row r="440" spans="1:11" ht="18" customHeight="1" x14ac:dyDescent="0.25">
      <c r="A440" s="5">
        <v>30955</v>
      </c>
      <c r="B440" s="79" t="e">
        <f>NA()</f>
        <v>#N/A</v>
      </c>
      <c r="C440" s="80" t="e">
        <v>#N/A</v>
      </c>
      <c r="D440" s="14">
        <f>50</f>
        <v>50</v>
      </c>
      <c r="E440" s="14">
        <f>3.3</f>
        <v>3.3</v>
      </c>
      <c r="F440" s="14">
        <f>2.4</f>
        <v>2.4</v>
      </c>
      <c r="G440" s="14">
        <f>3.2</f>
        <v>3.2</v>
      </c>
      <c r="H440" s="14" t="e">
        <f>NA()</f>
        <v>#N/A</v>
      </c>
      <c r="I440" s="86">
        <f>7</f>
        <v>7</v>
      </c>
      <c r="J440" s="87">
        <f>data비교작업!S443*100</f>
        <v>7.0512820512820502</v>
      </c>
      <c r="K440" s="85" t="e">
        <v>#N/A</v>
      </c>
    </row>
    <row r="441" spans="1:11" ht="18" customHeight="1" x14ac:dyDescent="0.25">
      <c r="A441" s="5">
        <v>30925</v>
      </c>
      <c r="B441" s="79" t="e">
        <f>NA()</f>
        <v>#N/A</v>
      </c>
      <c r="C441" s="80" t="e">
        <v>#N/A</v>
      </c>
      <c r="D441" s="14">
        <f>53</f>
        <v>53</v>
      </c>
      <c r="E441" s="14">
        <f>12.6</f>
        <v>12.6</v>
      </c>
      <c r="F441" s="14">
        <f>1.5</f>
        <v>1.5</v>
      </c>
      <c r="G441" s="14">
        <f>2.2</f>
        <v>2.2000000000000002</v>
      </c>
      <c r="H441" s="14" t="e">
        <f>NA()</f>
        <v>#N/A</v>
      </c>
      <c r="I441" s="86">
        <f>7.5</f>
        <v>7.5</v>
      </c>
      <c r="J441" s="87">
        <f>data비교작업!S444*100</f>
        <v>7.7419354838709626</v>
      </c>
      <c r="K441" s="85" t="e">
        <v>#N/A</v>
      </c>
    </row>
    <row r="442" spans="1:11" ht="18" customHeight="1" x14ac:dyDescent="0.25">
      <c r="A442" s="5">
        <v>30894</v>
      </c>
      <c r="B442" s="79" t="e">
        <f>NA()</f>
        <v>#N/A</v>
      </c>
      <c r="C442" s="80" t="e">
        <v>#N/A</v>
      </c>
      <c r="D442" s="14">
        <f>56.1</f>
        <v>56.1</v>
      </c>
      <c r="E442" s="14">
        <f>17.4</f>
        <v>17.399999999999999</v>
      </c>
      <c r="F442" s="14">
        <f>0.9</f>
        <v>0.9</v>
      </c>
      <c r="G442" s="14">
        <f>1.7</f>
        <v>1.7</v>
      </c>
      <c r="H442" s="14" t="e">
        <f>NA()</f>
        <v>#N/A</v>
      </c>
      <c r="I442" s="86">
        <f>7.6</f>
        <v>7.6</v>
      </c>
      <c r="J442" s="87">
        <f>data비교작업!S445*100</f>
        <v>7.7922077922077992</v>
      </c>
      <c r="K442" s="85" t="e">
        <v>#N/A</v>
      </c>
    </row>
    <row r="443" spans="1:11" ht="18" customHeight="1" x14ac:dyDescent="0.25">
      <c r="A443" s="5">
        <v>30863</v>
      </c>
      <c r="B443" s="79" t="e">
        <f>NA()</f>
        <v>#N/A</v>
      </c>
      <c r="C443" s="80" t="e">
        <v>#N/A</v>
      </c>
      <c r="D443" s="14">
        <f>58.1</f>
        <v>58.1</v>
      </c>
      <c r="E443" s="14">
        <f>19.9</f>
        <v>19.899999999999999</v>
      </c>
      <c r="F443" s="14">
        <f>0.4</f>
        <v>0.4</v>
      </c>
      <c r="G443" s="14">
        <f>1.7</f>
        <v>1.7</v>
      </c>
      <c r="H443" s="14" t="e">
        <f>NA()</f>
        <v>#N/A</v>
      </c>
      <c r="I443" s="86">
        <f>7.8</f>
        <v>7.8</v>
      </c>
      <c r="J443" s="87">
        <f>data비교작업!S446*100</f>
        <v>7.8431372549019551</v>
      </c>
      <c r="K443" s="85" t="e">
        <v>#N/A</v>
      </c>
    </row>
    <row r="444" spans="1:11" ht="18" customHeight="1" x14ac:dyDescent="0.25">
      <c r="A444" s="5">
        <v>30833</v>
      </c>
      <c r="B444" s="79" t="e">
        <f>NA()</f>
        <v>#N/A</v>
      </c>
      <c r="C444" s="80" t="e">
        <v>#N/A</v>
      </c>
      <c r="D444" s="14">
        <f>58.6</f>
        <v>58.6</v>
      </c>
      <c r="E444" s="14">
        <f>24.2</f>
        <v>24.2</v>
      </c>
      <c r="F444" s="14">
        <f>0.5</f>
        <v>0.5</v>
      </c>
      <c r="G444" s="14">
        <f>2.2</f>
        <v>2.2000000000000002</v>
      </c>
      <c r="H444" s="14" t="e">
        <f>NA()</f>
        <v>#N/A</v>
      </c>
      <c r="I444" s="86">
        <f>8.1</f>
        <v>8.1</v>
      </c>
      <c r="J444" s="87">
        <f>data비교작업!S447*100</f>
        <v>8.6092715231788013</v>
      </c>
      <c r="K444" s="85" t="e">
        <v>#N/A</v>
      </c>
    </row>
    <row r="445" spans="1:11" ht="18" customHeight="1" x14ac:dyDescent="0.25">
      <c r="A445" s="5">
        <v>30802</v>
      </c>
      <c r="B445" s="79" t="e">
        <f>NA()</f>
        <v>#N/A</v>
      </c>
      <c r="C445" s="80" t="e">
        <v>#N/A</v>
      </c>
      <c r="D445" s="14">
        <f>61</f>
        <v>61</v>
      </c>
      <c r="E445" s="14">
        <f>22.3</f>
        <v>22.3</v>
      </c>
      <c r="F445" s="14">
        <f>0.3</f>
        <v>0.3</v>
      </c>
      <c r="G445" s="14">
        <f>2.6</f>
        <v>2.6</v>
      </c>
      <c r="H445" s="14" t="e">
        <f>NA()</f>
        <v>#N/A</v>
      </c>
      <c r="I445" s="86">
        <f>8.1</f>
        <v>8.1</v>
      </c>
      <c r="J445" s="87">
        <f>data비교작업!S448*100</f>
        <v>9.3959731543624176</v>
      </c>
      <c r="K445" s="85" t="e">
        <v>#N/A</v>
      </c>
    </row>
    <row r="446" spans="1:11" ht="18" customHeight="1" x14ac:dyDescent="0.25">
      <c r="A446" s="5">
        <v>30772</v>
      </c>
      <c r="B446" s="79" t="e">
        <f>NA()</f>
        <v>#N/A</v>
      </c>
      <c r="C446" s="80" t="e">
        <v>#N/A</v>
      </c>
      <c r="D446" s="14">
        <f>58.9</f>
        <v>58.9</v>
      </c>
      <c r="E446" s="14">
        <f>20.3</f>
        <v>20.3</v>
      </c>
      <c r="F446" s="14">
        <f>-0.3</f>
        <v>-0.3</v>
      </c>
      <c r="G446" s="14">
        <f>2</f>
        <v>2</v>
      </c>
      <c r="H446" s="14" t="e">
        <f>NA()</f>
        <v>#N/A</v>
      </c>
      <c r="I446" s="86">
        <f>8.3</f>
        <v>8.3000000000000007</v>
      </c>
      <c r="J446" s="87">
        <f>data비교작업!S449*100</f>
        <v>8.7248322147650939</v>
      </c>
      <c r="K446" s="85" t="e">
        <v>#N/A</v>
      </c>
    </row>
    <row r="447" spans="1:11" ht="18" customHeight="1" x14ac:dyDescent="0.25">
      <c r="A447" s="5">
        <v>30741</v>
      </c>
      <c r="B447" s="79" t="e">
        <f>NA()</f>
        <v>#N/A</v>
      </c>
      <c r="C447" s="80" t="e">
        <v>#N/A</v>
      </c>
      <c r="D447" s="14">
        <f>61.3</f>
        <v>61.3</v>
      </c>
      <c r="E447" s="14">
        <f>25.8</f>
        <v>25.8</v>
      </c>
      <c r="F447" s="14">
        <f>-0.7</f>
        <v>-0.7</v>
      </c>
      <c r="G447" s="14">
        <f>2</f>
        <v>2</v>
      </c>
      <c r="H447" s="14" t="e">
        <f>NA()</f>
        <v>#N/A</v>
      </c>
      <c r="I447" s="86">
        <f>8.4</f>
        <v>8.4</v>
      </c>
      <c r="J447" s="87">
        <f>data비교작업!S450*100</f>
        <v>8.7837837837837878</v>
      </c>
      <c r="K447" s="85" t="e">
        <v>#N/A</v>
      </c>
    </row>
    <row r="448" spans="1:11" ht="18" customHeight="1" x14ac:dyDescent="0.25">
      <c r="A448" s="5">
        <v>30712</v>
      </c>
      <c r="B448" s="79" t="e">
        <f>NA()</f>
        <v>#N/A</v>
      </c>
      <c r="C448" s="80" t="e">
        <v>#N/A</v>
      </c>
      <c r="D448" s="14">
        <f>60.5</f>
        <v>60.5</v>
      </c>
      <c r="E448" s="14">
        <f>53.7</f>
        <v>53.7</v>
      </c>
      <c r="F448" s="14">
        <f>-1.1</f>
        <v>-1.1000000000000001</v>
      </c>
      <c r="G448" s="14">
        <f>1.8</f>
        <v>1.8</v>
      </c>
      <c r="H448" s="14" t="e">
        <f>NA()</f>
        <v>#N/A</v>
      </c>
      <c r="I448" s="86">
        <f>8.9</f>
        <v>8.9</v>
      </c>
      <c r="J448" s="87">
        <f>data비교작업!S451*100</f>
        <v>9.5890410958904138</v>
      </c>
      <c r="K448" s="85" t="e">
        <v>#N/A</v>
      </c>
    </row>
    <row r="449" spans="1:11" ht="18" customHeight="1" x14ac:dyDescent="0.25">
      <c r="A449" s="5">
        <v>30681</v>
      </c>
      <c r="B449" s="79" t="e">
        <f>NA()</f>
        <v>#N/A</v>
      </c>
      <c r="C449" s="80" t="e">
        <v>#N/A</v>
      </c>
      <c r="D449" s="14">
        <f>69.9</f>
        <v>69.900000000000006</v>
      </c>
      <c r="E449" s="14">
        <f>28</f>
        <v>28</v>
      </c>
      <c r="F449" s="14">
        <f>-0.8</f>
        <v>-0.8</v>
      </c>
      <c r="G449" s="14">
        <f>2</f>
        <v>2</v>
      </c>
      <c r="H449" s="14" t="e">
        <f>NA()</f>
        <v>#N/A</v>
      </c>
      <c r="I449" s="86">
        <f>9.1</f>
        <v>9.1</v>
      </c>
      <c r="J449" s="87">
        <f>data비교작업!S452*100</f>
        <v>10.416666666666666</v>
      </c>
      <c r="K449" s="85" t="e">
        <v>#N/A</v>
      </c>
    </row>
    <row r="450" spans="1:11" ht="18" customHeight="1" x14ac:dyDescent="0.25">
      <c r="A450" s="5">
        <v>30650</v>
      </c>
      <c r="B450" s="79" t="e">
        <f>NA()</f>
        <v>#N/A</v>
      </c>
      <c r="C450" s="80" t="e">
        <v>#N/A</v>
      </c>
      <c r="D450" s="14">
        <f>66</f>
        <v>66</v>
      </c>
      <c r="E450" s="14">
        <f>37.2</f>
        <v>37.200000000000003</v>
      </c>
      <c r="F450" s="14">
        <f>-0.6</f>
        <v>-0.6</v>
      </c>
      <c r="G450" s="14">
        <f>2.8</f>
        <v>2.8</v>
      </c>
      <c r="H450" s="14" t="e">
        <f>NA()</f>
        <v>#N/A</v>
      </c>
      <c r="I450" s="86">
        <f>9.6</f>
        <v>9.6</v>
      </c>
      <c r="J450" s="87">
        <f>data비교작업!S453*100</f>
        <v>10.48951048951049</v>
      </c>
      <c r="K450" s="85" t="e">
        <v>#N/A</v>
      </c>
    </row>
    <row r="451" spans="1:11" ht="18" customHeight="1" x14ac:dyDescent="0.25">
      <c r="A451" s="5">
        <v>30620</v>
      </c>
      <c r="B451" s="79" t="e">
        <f>NA()</f>
        <v>#N/A</v>
      </c>
      <c r="C451" s="80" t="e">
        <v>#N/A</v>
      </c>
      <c r="D451" s="14">
        <f>64.4</f>
        <v>64.400000000000006</v>
      </c>
      <c r="E451" s="14">
        <f>14.8</f>
        <v>14.8</v>
      </c>
      <c r="F451" s="14">
        <f>-0.6</f>
        <v>-0.6</v>
      </c>
      <c r="G451" s="14">
        <f>2.4</f>
        <v>2.4</v>
      </c>
      <c r="H451" s="14" t="e">
        <f>NA()</f>
        <v>#N/A</v>
      </c>
      <c r="I451" s="86">
        <f>9.9</f>
        <v>9.9</v>
      </c>
      <c r="J451" s="87">
        <f>data비교작업!S454*100</f>
        <v>10.563380281690142</v>
      </c>
      <c r="K451" s="85" t="e">
        <v>#N/A</v>
      </c>
    </row>
    <row r="452" spans="1:11" ht="18" customHeight="1" x14ac:dyDescent="0.25">
      <c r="A452" s="5">
        <v>30589</v>
      </c>
      <c r="B452" s="79" t="e">
        <f>NA()</f>
        <v>#N/A</v>
      </c>
      <c r="C452" s="80" t="e">
        <v>#N/A</v>
      </c>
      <c r="D452" s="14">
        <f>62.5</f>
        <v>62.5</v>
      </c>
      <c r="E452" s="14">
        <f>7</f>
        <v>7</v>
      </c>
      <c r="F452" s="14">
        <f>-0.4</f>
        <v>-0.4</v>
      </c>
      <c r="G452" s="14">
        <f>2.3</f>
        <v>2.2999999999999998</v>
      </c>
      <c r="H452" s="14" t="e">
        <f>NA()</f>
        <v>#N/A</v>
      </c>
      <c r="I452" s="86">
        <f>10.1</f>
        <v>10.1</v>
      </c>
      <c r="J452" s="87">
        <f>data비교작업!S455*100</f>
        <v>10.638297872340425</v>
      </c>
      <c r="K452" s="85" t="e">
        <v>#N/A</v>
      </c>
    </row>
    <row r="453" spans="1:11" ht="18" customHeight="1" x14ac:dyDescent="0.25">
      <c r="A453" s="5">
        <v>30559</v>
      </c>
      <c r="B453" s="79" t="e">
        <f>NA()</f>
        <v>#N/A</v>
      </c>
      <c r="C453" s="80" t="e">
        <v>#N/A</v>
      </c>
      <c r="D453" s="14">
        <f>63.1</f>
        <v>63.1</v>
      </c>
      <c r="E453" s="14">
        <f>13.4</f>
        <v>13.4</v>
      </c>
      <c r="F453" s="14">
        <f>-0.3</f>
        <v>-0.3</v>
      </c>
      <c r="G453" s="14">
        <f>2.6</f>
        <v>2.6</v>
      </c>
      <c r="H453" s="14" t="e">
        <f>NA()</f>
        <v>#N/A</v>
      </c>
      <c r="I453" s="86">
        <f>10.3</f>
        <v>10.3</v>
      </c>
      <c r="J453" s="87">
        <f>data비교작업!S456*100</f>
        <v>11.510791366906473</v>
      </c>
      <c r="K453" s="85" t="e">
        <v>#N/A</v>
      </c>
    </row>
    <row r="454" spans="1:11" ht="18" customHeight="1" x14ac:dyDescent="0.25">
      <c r="A454" s="5">
        <v>30528</v>
      </c>
      <c r="B454" s="79" t="e">
        <f>NA()</f>
        <v>#N/A</v>
      </c>
      <c r="C454" s="80" t="e">
        <v>#N/A</v>
      </c>
      <c r="D454" s="14">
        <f>63.6</f>
        <v>63.6</v>
      </c>
      <c r="E454" s="14">
        <f>14</f>
        <v>14</v>
      </c>
      <c r="F454" s="14">
        <f>-0.7</f>
        <v>-0.7</v>
      </c>
      <c r="G454" s="14">
        <f>2.8</f>
        <v>2.8</v>
      </c>
      <c r="H454" s="14" t="e">
        <f>NA()</f>
        <v>#N/A</v>
      </c>
      <c r="I454" s="86">
        <f>10.9</f>
        <v>10.9</v>
      </c>
      <c r="J454" s="87">
        <f>data비교작업!S457*100</f>
        <v>11.594202898550723</v>
      </c>
      <c r="K454" s="85" t="e">
        <v>#N/A</v>
      </c>
    </row>
    <row r="455" spans="1:11" ht="18" customHeight="1" x14ac:dyDescent="0.25">
      <c r="A455" s="5">
        <v>30497</v>
      </c>
      <c r="B455" s="79" t="e">
        <f>NA()</f>
        <v>#N/A</v>
      </c>
      <c r="C455" s="80" t="e">
        <v>#N/A</v>
      </c>
      <c r="D455" s="14">
        <f>57.5</f>
        <v>57.5</v>
      </c>
      <c r="E455" s="14">
        <f>25.6</f>
        <v>25.6</v>
      </c>
      <c r="F455" s="14">
        <f>-0.1</f>
        <v>-0.1</v>
      </c>
      <c r="G455" s="14">
        <f>3.1</f>
        <v>3.1</v>
      </c>
      <c r="H455" s="14" t="e">
        <f>NA()</f>
        <v>#N/A</v>
      </c>
      <c r="I455" s="86">
        <f>11</f>
        <v>11</v>
      </c>
      <c r="J455" s="87">
        <f>data비교작업!S458*100</f>
        <v>12.500000000000009</v>
      </c>
      <c r="K455" s="85" t="e">
        <v>#N/A</v>
      </c>
    </row>
    <row r="456" spans="1:11" ht="18" customHeight="1" x14ac:dyDescent="0.25">
      <c r="A456" s="5">
        <v>30467</v>
      </c>
      <c r="B456" s="79" t="e">
        <f>NA()</f>
        <v>#N/A</v>
      </c>
      <c r="C456" s="80" t="e">
        <v>#N/A</v>
      </c>
      <c r="D456" s="14">
        <f>56.1</f>
        <v>56.1</v>
      </c>
      <c r="E456" s="14">
        <f>2.6</f>
        <v>2.6</v>
      </c>
      <c r="F456" s="14">
        <f>0.2</f>
        <v>0.2</v>
      </c>
      <c r="G456" s="14">
        <f>3.8</f>
        <v>3.8</v>
      </c>
      <c r="H456" s="14" t="e">
        <f>NA()</f>
        <v>#N/A</v>
      </c>
      <c r="I456" s="86">
        <f>10.8</f>
        <v>10.8</v>
      </c>
      <c r="J456" s="87">
        <f>data비교작업!S459*100</f>
        <v>11.029411764705882</v>
      </c>
      <c r="K456" s="85" t="e">
        <v>#N/A</v>
      </c>
    </row>
    <row r="457" spans="1:11" ht="18" customHeight="1" x14ac:dyDescent="0.25">
      <c r="A457" s="5">
        <v>30436</v>
      </c>
      <c r="B457" s="79" t="e">
        <f>NA()</f>
        <v>#N/A</v>
      </c>
      <c r="C457" s="80" t="e">
        <v>#N/A</v>
      </c>
      <c r="D457" s="14">
        <f>54.2</f>
        <v>54.2</v>
      </c>
      <c r="E457" s="14">
        <f>4.8</f>
        <v>4.8</v>
      </c>
      <c r="F457" s="14">
        <f>0.9</f>
        <v>0.9</v>
      </c>
      <c r="G457" s="14">
        <f>4.3</f>
        <v>4.3</v>
      </c>
      <c r="H457" s="14" t="e">
        <f>NA()</f>
        <v>#N/A</v>
      </c>
      <c r="I457" s="86">
        <f>10.1</f>
        <v>10.1</v>
      </c>
      <c r="J457" s="87">
        <f>data비교작업!S460*100</f>
        <v>10.370370370370372</v>
      </c>
      <c r="K457" s="85" t="e">
        <v>#N/A</v>
      </c>
    </row>
    <row r="458" spans="1:11" ht="18" customHeight="1" x14ac:dyDescent="0.25">
      <c r="A458" s="5">
        <v>30406</v>
      </c>
      <c r="B458" s="79" t="e">
        <f>NA()</f>
        <v>#N/A</v>
      </c>
      <c r="C458" s="80" t="e">
        <v>#N/A</v>
      </c>
      <c r="D458" s="14">
        <f>53.9</f>
        <v>53.9</v>
      </c>
      <c r="E458" s="14">
        <f>6.2</f>
        <v>6.2</v>
      </c>
      <c r="F458" s="14">
        <f>1.1</f>
        <v>1.1000000000000001</v>
      </c>
      <c r="G458" s="14">
        <f>4.7</f>
        <v>4.7</v>
      </c>
      <c r="H458" s="14" t="e">
        <f>NA()</f>
        <v>#N/A</v>
      </c>
      <c r="I458" s="86">
        <f>10.3</f>
        <v>10.3</v>
      </c>
      <c r="J458" s="87">
        <f>data비교작업!S461*100</f>
        <v>11.194029850746269</v>
      </c>
      <c r="K458" s="85" t="e">
        <v>#N/A</v>
      </c>
    </row>
    <row r="459" spans="1:11" ht="18" customHeight="1" x14ac:dyDescent="0.25">
      <c r="A459" s="5">
        <v>30375</v>
      </c>
      <c r="B459" s="79" t="e">
        <f>NA()</f>
        <v>#N/A</v>
      </c>
      <c r="C459" s="80" t="e">
        <v>#N/A</v>
      </c>
      <c r="D459" s="14">
        <f>54.4</f>
        <v>54.4</v>
      </c>
      <c r="E459" s="14">
        <f>0</f>
        <v>0</v>
      </c>
      <c r="F459" s="14">
        <f>1.2</f>
        <v>1.2</v>
      </c>
      <c r="G459" s="14">
        <f>5.3</f>
        <v>5.3</v>
      </c>
      <c r="H459" s="14" t="e">
        <f>NA()</f>
        <v>#N/A</v>
      </c>
      <c r="I459" s="86">
        <f>10.2</f>
        <v>10.199999999999999</v>
      </c>
      <c r="J459" s="87">
        <f>data비교작업!S462*100</f>
        <v>11.278195488721805</v>
      </c>
      <c r="K459" s="85" t="e">
        <v>#N/A</v>
      </c>
    </row>
    <row r="460" spans="1:11" ht="18" customHeight="1" x14ac:dyDescent="0.25">
      <c r="A460" s="5">
        <v>30347</v>
      </c>
      <c r="B460" s="79" t="e">
        <f>NA()</f>
        <v>#N/A</v>
      </c>
      <c r="C460" s="80" t="e">
        <v>#N/A</v>
      </c>
      <c r="D460" s="14">
        <f>46</f>
        <v>46</v>
      </c>
      <c r="E460" s="14">
        <f>-11.8</f>
        <v>-11.8</v>
      </c>
      <c r="F460" s="14">
        <f>2.1</f>
        <v>2.1</v>
      </c>
      <c r="G460" s="14">
        <f>5.1</f>
        <v>5.0999999999999996</v>
      </c>
      <c r="H460" s="14" t="e">
        <f>NA()</f>
        <v>#N/A</v>
      </c>
      <c r="I460" s="86">
        <f>9.9</f>
        <v>9.9</v>
      </c>
      <c r="J460" s="87">
        <f>data비교작업!S463*100</f>
        <v>10.606060606060609</v>
      </c>
      <c r="K460" s="85" t="e">
        <v>#N/A</v>
      </c>
    </row>
    <row r="461" spans="1:11" ht="18" customHeight="1" x14ac:dyDescent="0.25">
      <c r="A461" s="5">
        <v>30316</v>
      </c>
      <c r="B461" s="79" t="e">
        <f>NA()</f>
        <v>#N/A</v>
      </c>
      <c r="C461" s="80" t="e">
        <v>#N/A</v>
      </c>
      <c r="D461" s="14">
        <f>42.8</f>
        <v>42.8</v>
      </c>
      <c r="E461" s="14">
        <f>-0.9</f>
        <v>-0.9</v>
      </c>
      <c r="F461" s="14">
        <f>2.3</f>
        <v>2.2999999999999998</v>
      </c>
      <c r="G461" s="14">
        <f>4.8</f>
        <v>4.8</v>
      </c>
      <c r="H461" s="14" t="e">
        <f>NA()</f>
        <v>#N/A</v>
      </c>
      <c r="I461" s="86">
        <f>9.1</f>
        <v>9.1</v>
      </c>
      <c r="J461" s="87">
        <f>data비교작업!S464*100</f>
        <v>9.0909090909090988</v>
      </c>
      <c r="K461" s="85" t="e">
        <v>#N/A</v>
      </c>
    </row>
    <row r="462" spans="1:11" ht="18" customHeight="1" x14ac:dyDescent="0.25">
      <c r="A462" s="5">
        <v>30285</v>
      </c>
      <c r="B462" s="79" t="e">
        <f>NA()</f>
        <v>#N/A</v>
      </c>
      <c r="C462" s="80" t="e">
        <v>#N/A</v>
      </c>
      <c r="D462" s="14">
        <f>39.2</f>
        <v>39.200000000000003</v>
      </c>
      <c r="E462" s="14">
        <f>-10.1</f>
        <v>-10.1</v>
      </c>
      <c r="F462" s="14">
        <f>3.1</f>
        <v>3.1</v>
      </c>
      <c r="G462" s="14">
        <f>4.2</f>
        <v>4.2</v>
      </c>
      <c r="H462" s="14" t="e">
        <f>NA()</f>
        <v>#N/A</v>
      </c>
      <c r="I462" s="86">
        <f>8.8</f>
        <v>8.8000000000000007</v>
      </c>
      <c r="J462" s="87">
        <f>data비교작업!S465*100</f>
        <v>9.1603053435114585</v>
      </c>
      <c r="K462" s="85" t="e">
        <v>#N/A</v>
      </c>
    </row>
    <row r="463" spans="1:11" ht="18" customHeight="1" x14ac:dyDescent="0.25">
      <c r="A463" s="5">
        <v>30255</v>
      </c>
      <c r="B463" s="79" t="e">
        <f>NA()</f>
        <v>#N/A</v>
      </c>
      <c r="C463" s="80" t="e">
        <v>#N/A</v>
      </c>
      <c r="D463" s="14">
        <f>39.4</f>
        <v>39.4</v>
      </c>
      <c r="E463" s="14">
        <f>11.8</f>
        <v>11.8</v>
      </c>
      <c r="F463" s="14">
        <f>1.9</f>
        <v>1.9</v>
      </c>
      <c r="G463" s="14">
        <f>3.9</f>
        <v>3.9</v>
      </c>
      <c r="H463" s="14" t="e">
        <f>NA()</f>
        <v>#N/A</v>
      </c>
      <c r="I463" s="86">
        <f>8.4</f>
        <v>8.4</v>
      </c>
      <c r="J463" s="87">
        <f>data비교작업!S466*100</f>
        <v>8.3969465648854928</v>
      </c>
      <c r="K463" s="85" t="e">
        <v>#N/A</v>
      </c>
    </row>
    <row r="464" spans="1:11" ht="18" customHeight="1" x14ac:dyDescent="0.25">
      <c r="A464" s="5">
        <v>30224</v>
      </c>
      <c r="B464" s="79" t="e">
        <f>NA()</f>
        <v>#N/A</v>
      </c>
      <c r="C464" s="80" t="e">
        <v>#N/A</v>
      </c>
      <c r="D464" s="14">
        <f>38.8</f>
        <v>38.799999999999997</v>
      </c>
      <c r="E464" s="14">
        <f>10.6</f>
        <v>10.6</v>
      </c>
      <c r="F464" s="14">
        <f>1.9</f>
        <v>1.9</v>
      </c>
      <c r="G464" s="14">
        <f>3.9</f>
        <v>3.9</v>
      </c>
      <c r="H464" s="14" t="e">
        <f>NA()</f>
        <v>#N/A</v>
      </c>
      <c r="I464" s="86">
        <f>8.2</f>
        <v>8.1999999999999993</v>
      </c>
      <c r="J464" s="87">
        <f>data비교작업!S467*100</f>
        <v>8.4615384615384599</v>
      </c>
      <c r="K464" s="85" t="e">
        <v>#N/A</v>
      </c>
    </row>
    <row r="465" spans="1:11" ht="18" customHeight="1" x14ac:dyDescent="0.25">
      <c r="A465" s="5">
        <v>30194</v>
      </c>
      <c r="B465" s="79" t="e">
        <f>NA()</f>
        <v>#N/A</v>
      </c>
      <c r="C465" s="80" t="e">
        <v>#N/A</v>
      </c>
      <c r="D465" s="14">
        <f>38.3</f>
        <v>38.299999999999997</v>
      </c>
      <c r="E465" s="14">
        <f>2.5</f>
        <v>2.5</v>
      </c>
      <c r="F465" s="14">
        <f>2.1</f>
        <v>2.1</v>
      </c>
      <c r="G465" s="14">
        <f>4.8</f>
        <v>4.8</v>
      </c>
      <c r="H465" s="14" t="e">
        <f>NA()</f>
        <v>#N/A</v>
      </c>
      <c r="I465" s="86">
        <f>7.8</f>
        <v>7.8</v>
      </c>
      <c r="J465" s="87">
        <f>data비교작업!S468*100</f>
        <v>7.7519379844961236</v>
      </c>
      <c r="K465" s="85" t="e">
        <v>#N/A</v>
      </c>
    </row>
    <row r="466" spans="1:11" ht="18" customHeight="1" x14ac:dyDescent="0.25">
      <c r="A466" s="5">
        <v>30163</v>
      </c>
      <c r="B466" s="79" t="e">
        <f>NA()</f>
        <v>#N/A</v>
      </c>
      <c r="C466" s="80" t="e">
        <v>#N/A</v>
      </c>
      <c r="D466" s="14">
        <f>38.4</f>
        <v>38.4</v>
      </c>
      <c r="E466" s="14">
        <f>-4.4</f>
        <v>-4.4000000000000004</v>
      </c>
      <c r="F466" s="14">
        <f>2.9</f>
        <v>2.9</v>
      </c>
      <c r="G466" s="14">
        <f>5.6</f>
        <v>5.6</v>
      </c>
      <c r="H466" s="14" t="e">
        <f>NA()</f>
        <v>#N/A</v>
      </c>
      <c r="I466" s="86">
        <f>7.6</f>
        <v>7.6</v>
      </c>
      <c r="J466" s="87">
        <f>data비교작업!S469*100</f>
        <v>7.8125</v>
      </c>
      <c r="K466" s="85" t="e">
        <v>#N/A</v>
      </c>
    </row>
    <row r="467" spans="1:11" ht="18" customHeight="1" x14ac:dyDescent="0.25">
      <c r="A467" s="5">
        <v>30132</v>
      </c>
      <c r="B467" s="79" t="e">
        <f>NA()</f>
        <v>#N/A</v>
      </c>
      <c r="C467" s="80" t="e">
        <v>#N/A</v>
      </c>
      <c r="D467" s="14">
        <f>38.3</f>
        <v>38.299999999999997</v>
      </c>
      <c r="E467" s="14">
        <f>-4.7</f>
        <v>-4.7</v>
      </c>
      <c r="F467" s="14">
        <f>2.7</f>
        <v>2.7</v>
      </c>
      <c r="G467" s="14">
        <f>6.4</f>
        <v>6.4</v>
      </c>
      <c r="H467" s="14" t="e">
        <f>NA()</f>
        <v>#N/A</v>
      </c>
      <c r="I467" s="86">
        <f>7.3</f>
        <v>7.3</v>
      </c>
      <c r="J467" s="87">
        <f>data비교작업!S470*100</f>
        <v>7.086614173228349</v>
      </c>
      <c r="K467" s="85" t="e">
        <v>#N/A</v>
      </c>
    </row>
    <row r="468" spans="1:11" ht="18" customHeight="1" x14ac:dyDescent="0.25">
      <c r="A468" s="5">
        <v>30102</v>
      </c>
      <c r="B468" s="79" t="e">
        <f>NA()</f>
        <v>#N/A</v>
      </c>
      <c r="C468" s="80" t="e">
        <v>#N/A</v>
      </c>
      <c r="D468" s="14">
        <f>35.5</f>
        <v>35.5</v>
      </c>
      <c r="E468" s="14">
        <f>9.6</f>
        <v>9.6</v>
      </c>
      <c r="F468" s="14">
        <f>3.8</f>
        <v>3.8</v>
      </c>
      <c r="G468" s="14">
        <f>8.6</f>
        <v>8.6</v>
      </c>
      <c r="H468" s="14" t="e">
        <f>NA()</f>
        <v>#N/A</v>
      </c>
      <c r="I468" s="86">
        <f>7.7</f>
        <v>7.7</v>
      </c>
      <c r="J468" s="87">
        <f>data비교작업!S471*100</f>
        <v>7.9365079365079358</v>
      </c>
      <c r="K468" s="85" t="e">
        <v>#N/A</v>
      </c>
    </row>
    <row r="469" spans="1:11" ht="18" customHeight="1" x14ac:dyDescent="0.25">
      <c r="A469" s="5">
        <v>30071</v>
      </c>
      <c r="B469" s="79" t="e">
        <f>NA()</f>
        <v>#N/A</v>
      </c>
      <c r="C469" s="80" t="e">
        <v>#N/A</v>
      </c>
      <c r="D469" s="14">
        <f>37.8</f>
        <v>37.799999999999997</v>
      </c>
      <c r="E469" s="14">
        <f>1.5</f>
        <v>1.5</v>
      </c>
      <c r="F469" s="14">
        <f>6.5</f>
        <v>6.5</v>
      </c>
      <c r="G469" s="14">
        <f>10.2</f>
        <v>10.199999999999999</v>
      </c>
      <c r="H469" s="14" t="e">
        <f>NA()</f>
        <v>#N/A</v>
      </c>
      <c r="I469" s="86">
        <f>7.9</f>
        <v>7.9</v>
      </c>
      <c r="J469" s="87">
        <f>data비교작업!S472*100</f>
        <v>8.8709677419354804</v>
      </c>
      <c r="K469" s="85" t="e">
        <v>#N/A</v>
      </c>
    </row>
    <row r="470" spans="1:11" ht="18" customHeight="1" x14ac:dyDescent="0.25">
      <c r="A470" s="5">
        <v>30041</v>
      </c>
      <c r="B470" s="79" t="e">
        <f>NA()</f>
        <v>#N/A</v>
      </c>
      <c r="C470" s="80" t="e">
        <v>#N/A</v>
      </c>
      <c r="D470" s="14">
        <f>36.8</f>
        <v>36.799999999999997</v>
      </c>
      <c r="E470" s="14">
        <f>5.6</f>
        <v>5.6</v>
      </c>
      <c r="F470" s="14">
        <f>9.1</f>
        <v>9.1</v>
      </c>
      <c r="G470" s="14">
        <f>11</f>
        <v>11</v>
      </c>
      <c r="H470" s="14" t="e">
        <f>NA()</f>
        <v>#N/A</v>
      </c>
      <c r="I470" s="86">
        <f>8.3</f>
        <v>8.3000000000000007</v>
      </c>
      <c r="J470" s="87">
        <f>data비교작업!S473*100</f>
        <v>8.9430894308943056</v>
      </c>
      <c r="K470" s="85" t="e">
        <v>#N/A</v>
      </c>
    </row>
    <row r="471" spans="1:11" ht="18" customHeight="1" x14ac:dyDescent="0.25">
      <c r="A471" s="5">
        <v>30010</v>
      </c>
      <c r="B471" s="79" t="e">
        <f>NA()</f>
        <v>#N/A</v>
      </c>
      <c r="C471" s="80" t="e">
        <v>#N/A</v>
      </c>
      <c r="D471" s="14">
        <f>38.3</f>
        <v>38.299999999999997</v>
      </c>
      <c r="E471" s="14">
        <f>4.5</f>
        <v>4.5</v>
      </c>
      <c r="F471" s="14">
        <f>10.5</f>
        <v>10.5</v>
      </c>
      <c r="G471" s="14">
        <f>12</f>
        <v>12</v>
      </c>
      <c r="H471" s="14" t="e">
        <f>NA()</f>
        <v>#N/A</v>
      </c>
      <c r="I471" s="86">
        <f>8.4</f>
        <v>8.4</v>
      </c>
      <c r="J471" s="87">
        <f>data비교작업!S474*100</f>
        <v>9.0163934426229631</v>
      </c>
      <c r="K471" s="85" t="e">
        <v>#N/A</v>
      </c>
    </row>
    <row r="472" spans="1:11" ht="18" customHeight="1" x14ac:dyDescent="0.25">
      <c r="A472" s="5">
        <v>29982</v>
      </c>
      <c r="B472" s="79" t="e">
        <f>NA()</f>
        <v>#N/A</v>
      </c>
      <c r="C472" s="80" t="e">
        <v>#N/A</v>
      </c>
      <c r="D472" s="14">
        <f>38.2</f>
        <v>38.200000000000003</v>
      </c>
      <c r="E472" s="14">
        <f>7.8</f>
        <v>7.8</v>
      </c>
      <c r="F472" s="14">
        <f>10.5</f>
        <v>10.5</v>
      </c>
      <c r="G472" s="14">
        <f>12.4</f>
        <v>12.4</v>
      </c>
      <c r="H472" s="14" t="e">
        <f>NA()</f>
        <v>#N/A</v>
      </c>
      <c r="I472" s="86">
        <f>8.9</f>
        <v>8.9</v>
      </c>
      <c r="J472" s="87">
        <f>data비교작업!S475*100</f>
        <v>9.0909090909090882</v>
      </c>
      <c r="K472" s="85" t="e">
        <v>#N/A</v>
      </c>
    </row>
    <row r="473" spans="1:11" ht="18" customHeight="1" x14ac:dyDescent="0.25">
      <c r="A473" s="5">
        <v>29951</v>
      </c>
      <c r="B473" s="79" t="e">
        <f>NA()</f>
        <v>#N/A</v>
      </c>
      <c r="C473" s="80" t="e">
        <v>#N/A</v>
      </c>
      <c r="D473" s="14">
        <f>37.8</f>
        <v>37.799999999999997</v>
      </c>
      <c r="E473" s="14">
        <f>8.3</f>
        <v>8.3000000000000007</v>
      </c>
      <c r="F473" s="14">
        <f>11.4</f>
        <v>11.4</v>
      </c>
      <c r="G473" s="14">
        <f>13.7</f>
        <v>13.7</v>
      </c>
      <c r="H473" s="14" t="e">
        <f>NA()</f>
        <v>#N/A</v>
      </c>
      <c r="I473" s="86">
        <f>9.4</f>
        <v>9.4</v>
      </c>
      <c r="J473" s="87">
        <f>data비교작업!S476*100</f>
        <v>10.924369747899149</v>
      </c>
      <c r="K473" s="85" t="e">
        <v>#N/A</v>
      </c>
    </row>
    <row r="474" spans="1:11" ht="18" customHeight="1" x14ac:dyDescent="0.25">
      <c r="A474" s="5">
        <v>29920</v>
      </c>
      <c r="B474" s="79" t="e">
        <f>NA()</f>
        <v>#N/A</v>
      </c>
      <c r="C474" s="80" t="e">
        <v>#N/A</v>
      </c>
      <c r="D474" s="14">
        <f>36.1</f>
        <v>36.1</v>
      </c>
      <c r="E474" s="14">
        <f>3.7</f>
        <v>3.7</v>
      </c>
      <c r="F474" s="14">
        <f>14.4</f>
        <v>14.4</v>
      </c>
      <c r="G474" s="14">
        <f>16.6</f>
        <v>16.600000000000001</v>
      </c>
      <c r="H474" s="14" t="e">
        <f>NA()</f>
        <v>#N/A</v>
      </c>
      <c r="I474" s="86">
        <f>10.2</f>
        <v>10.199999999999999</v>
      </c>
      <c r="J474" s="87">
        <f>data비교작업!S477*100</f>
        <v>11.016949152542363</v>
      </c>
      <c r="K474" s="85" t="e">
        <v>#N/A</v>
      </c>
    </row>
    <row r="475" spans="1:11" ht="18" customHeight="1" x14ac:dyDescent="0.25">
      <c r="A475" s="5">
        <v>29890</v>
      </c>
      <c r="B475" s="79" t="e">
        <f>NA()</f>
        <v>#N/A</v>
      </c>
      <c r="C475" s="80" t="e">
        <v>#N/A</v>
      </c>
      <c r="D475" s="14">
        <f>40</f>
        <v>40</v>
      </c>
      <c r="E475" s="14">
        <f>19.4</f>
        <v>19.399999999999999</v>
      </c>
      <c r="F475" s="14">
        <f>17.4</f>
        <v>17.399999999999999</v>
      </c>
      <c r="G475" s="14">
        <f>18.3</f>
        <v>18.3</v>
      </c>
      <c r="H475" s="14" t="e">
        <f>NA()</f>
        <v>#N/A</v>
      </c>
      <c r="I475" s="86">
        <f>10.8</f>
        <v>10.8</v>
      </c>
      <c r="J475" s="87">
        <f>data비교작업!S478*100</f>
        <v>11.965811965811969</v>
      </c>
      <c r="K475" s="85" t="e">
        <v>#N/A</v>
      </c>
    </row>
    <row r="476" spans="1:11" ht="18" customHeight="1" x14ac:dyDescent="0.25">
      <c r="A476" s="5">
        <v>29859</v>
      </c>
      <c r="B476" s="79" t="e">
        <f>NA()</f>
        <v>#N/A</v>
      </c>
      <c r="C476" s="80" t="e">
        <v>#N/A</v>
      </c>
      <c r="D476" s="14">
        <f>42.5</f>
        <v>42.5</v>
      </c>
      <c r="E476" s="14">
        <f>21.9</f>
        <v>21.9</v>
      </c>
      <c r="F476" s="14">
        <f>19.1</f>
        <v>19.100000000000001</v>
      </c>
      <c r="G476" s="14">
        <f>21.9</f>
        <v>21.9</v>
      </c>
      <c r="H476" s="14" t="e">
        <f>NA()</f>
        <v>#N/A</v>
      </c>
      <c r="I476" s="86">
        <f>11.1</f>
        <v>11.1</v>
      </c>
      <c r="J476" s="87">
        <f>data비교작업!S479*100</f>
        <v>12.068965517241383</v>
      </c>
      <c r="K476" s="85" t="e">
        <v>#N/A</v>
      </c>
    </row>
    <row r="477" spans="1:11" ht="18" customHeight="1" x14ac:dyDescent="0.25">
      <c r="A477" s="5">
        <v>29829</v>
      </c>
      <c r="B477" s="79" t="e">
        <f>NA()</f>
        <v>#N/A</v>
      </c>
      <c r="C477" s="80" t="e">
        <v>#N/A</v>
      </c>
      <c r="D477" s="14">
        <f>48.3</f>
        <v>48.3</v>
      </c>
      <c r="E477" s="14">
        <f>18.4</f>
        <v>18.399999999999999</v>
      </c>
      <c r="F477" s="14">
        <f>20.4</f>
        <v>20.399999999999999</v>
      </c>
      <c r="G477" s="14">
        <f>22.6</f>
        <v>22.6</v>
      </c>
      <c r="H477" s="14" t="e">
        <f>NA()</f>
        <v>#N/A</v>
      </c>
      <c r="I477" s="86">
        <f>11.5</f>
        <v>11.5</v>
      </c>
      <c r="J477" s="87">
        <f>data비교작업!S480*100</f>
        <v>12.173913043478263</v>
      </c>
      <c r="K477" s="85" t="e">
        <v>#N/A</v>
      </c>
    </row>
    <row r="478" spans="1:11" ht="18" customHeight="1" x14ac:dyDescent="0.25">
      <c r="A478" s="5">
        <v>29798</v>
      </c>
      <c r="B478" s="79" t="e">
        <f>NA()</f>
        <v>#N/A</v>
      </c>
      <c r="C478" s="80" t="e">
        <v>#N/A</v>
      </c>
      <c r="D478" s="14">
        <f>46.7</f>
        <v>46.7</v>
      </c>
      <c r="E478" s="14">
        <f>30.8</f>
        <v>30.8</v>
      </c>
      <c r="F478" s="14">
        <f>22.3</f>
        <v>22.3</v>
      </c>
      <c r="G478" s="14">
        <f>23.4</f>
        <v>23.4</v>
      </c>
      <c r="H478" s="14" t="e">
        <f>NA()</f>
        <v>#N/A</v>
      </c>
      <c r="I478" s="86">
        <f>11.8</f>
        <v>11.8</v>
      </c>
      <c r="J478" s="87">
        <f>data비교작업!S481*100</f>
        <v>12.280701754385968</v>
      </c>
      <c r="K478" s="85" t="e">
        <v>#N/A</v>
      </c>
    </row>
    <row r="479" spans="1:11" ht="18" customHeight="1" x14ac:dyDescent="0.25">
      <c r="A479" s="5">
        <v>29767</v>
      </c>
      <c r="B479" s="79" t="e">
        <f>NA()</f>
        <v>#N/A</v>
      </c>
      <c r="C479" s="80" t="e">
        <v>#N/A</v>
      </c>
      <c r="D479" s="14">
        <f>50.7</f>
        <v>50.7</v>
      </c>
      <c r="E479" s="14">
        <f>32.4</f>
        <v>32.4</v>
      </c>
      <c r="F479" s="14">
        <f>22.9</f>
        <v>22.9</v>
      </c>
      <c r="G479" s="14">
        <f>23.2</f>
        <v>23.2</v>
      </c>
      <c r="H479" s="14" t="e">
        <f>NA()</f>
        <v>#N/A</v>
      </c>
      <c r="I479" s="86">
        <f>12</f>
        <v>12</v>
      </c>
      <c r="J479" s="87">
        <f>data비교작업!S482*100</f>
        <v>12.389380530973439</v>
      </c>
      <c r="K479" s="85" t="e">
        <v>#N/A</v>
      </c>
    </row>
    <row r="480" spans="1:11" ht="18" customHeight="1" x14ac:dyDescent="0.25">
      <c r="A480" s="5">
        <v>29737</v>
      </c>
      <c r="B480" s="79" t="e">
        <f>NA()</f>
        <v>#N/A</v>
      </c>
      <c r="C480" s="80" t="e">
        <v>#N/A</v>
      </c>
      <c r="D480" s="14">
        <f>53.5</f>
        <v>53.5</v>
      </c>
      <c r="E480" s="14">
        <f>25.9</f>
        <v>25.9</v>
      </c>
      <c r="F480" s="14">
        <f>21.8</f>
        <v>21.8</v>
      </c>
      <c r="G480" s="14">
        <f>21.3</f>
        <v>21.3</v>
      </c>
      <c r="H480" s="14" t="e">
        <f>NA()</f>
        <v>#N/A</v>
      </c>
      <c r="I480" s="86">
        <f>11.9</f>
        <v>11.9</v>
      </c>
      <c r="J480" s="87">
        <f>data비교작업!S483*100</f>
        <v>12.500000000000004</v>
      </c>
      <c r="K480" s="85" t="e">
        <v>#N/A</v>
      </c>
    </row>
    <row r="481" spans="1:11" ht="18" customHeight="1" x14ac:dyDescent="0.25">
      <c r="A481" s="5">
        <v>29706</v>
      </c>
      <c r="B481" s="79" t="e">
        <f>NA()</f>
        <v>#N/A</v>
      </c>
      <c r="C481" s="80" t="e">
        <v>#N/A</v>
      </c>
      <c r="D481" s="14">
        <f>51.6</f>
        <v>51.6</v>
      </c>
      <c r="E481" s="14">
        <f>34.4</f>
        <v>34.4</v>
      </c>
      <c r="F481" s="14">
        <f>20.6</f>
        <v>20.6</v>
      </c>
      <c r="G481" s="14">
        <f>22.4</f>
        <v>22.4</v>
      </c>
      <c r="H481" s="14" t="e">
        <f>NA()</f>
        <v>#N/A</v>
      </c>
      <c r="I481" s="86">
        <f>11.5</f>
        <v>11.5</v>
      </c>
      <c r="J481" s="87">
        <f>data비교작업!S484*100</f>
        <v>11.711711711711718</v>
      </c>
      <c r="K481" s="85" t="e">
        <v>#N/A</v>
      </c>
    </row>
    <row r="482" spans="1:11" ht="18" customHeight="1" x14ac:dyDescent="0.25">
      <c r="A482" s="5">
        <v>29676</v>
      </c>
      <c r="B482" s="79" t="e">
        <f>NA()</f>
        <v>#N/A</v>
      </c>
      <c r="C482" s="80" t="e">
        <v>#N/A</v>
      </c>
      <c r="D482" s="14">
        <f>49.6</f>
        <v>49.6</v>
      </c>
      <c r="E482" s="14">
        <f>16.5</f>
        <v>16.5</v>
      </c>
      <c r="F482" s="14">
        <f>19.1</f>
        <v>19.100000000000001</v>
      </c>
      <c r="G482" s="14">
        <f>22.3</f>
        <v>22.3</v>
      </c>
      <c r="H482" s="14" t="e">
        <f>NA()</f>
        <v>#N/A</v>
      </c>
      <c r="I482" s="86">
        <f>11.4</f>
        <v>11.4</v>
      </c>
      <c r="J482" s="87">
        <f>data비교작업!S485*100</f>
        <v>11.818181818181825</v>
      </c>
      <c r="K482" s="85" t="e">
        <v>#N/A</v>
      </c>
    </row>
    <row r="483" spans="1:11" ht="18" customHeight="1" x14ac:dyDescent="0.25">
      <c r="A483" s="5">
        <v>29645</v>
      </c>
      <c r="B483" s="79" t="e">
        <f>NA()</f>
        <v>#N/A</v>
      </c>
      <c r="C483" s="80" t="e">
        <v>#N/A</v>
      </c>
      <c r="D483" s="14">
        <f>48.8</f>
        <v>48.8</v>
      </c>
      <c r="E483" s="14">
        <f>21</f>
        <v>21</v>
      </c>
      <c r="F483" s="14">
        <f>22.3</f>
        <v>22.3</v>
      </c>
      <c r="G483" s="14">
        <f>24.4</f>
        <v>24.4</v>
      </c>
      <c r="H483" s="14" t="e">
        <f>NA()</f>
        <v>#N/A</v>
      </c>
      <c r="I483" s="86">
        <f>11.1</f>
        <v>11.1</v>
      </c>
      <c r="J483" s="87">
        <f>data비교작업!S486*100</f>
        <v>11.926605504587146</v>
      </c>
      <c r="K483" s="85" t="e">
        <v>#N/A</v>
      </c>
    </row>
    <row r="484" spans="1:11" ht="18" customHeight="1" x14ac:dyDescent="0.25">
      <c r="A484" s="5">
        <v>29617</v>
      </c>
      <c r="B484" s="79" t="e">
        <f>NA()</f>
        <v>#N/A</v>
      </c>
      <c r="C484" s="80" t="e">
        <v>#N/A</v>
      </c>
      <c r="D484" s="14">
        <f>49.2</f>
        <v>49.2</v>
      </c>
      <c r="E484" s="14">
        <f>32.7</f>
        <v>32.700000000000003</v>
      </c>
      <c r="F484" s="14">
        <f>38.2</f>
        <v>38.200000000000003</v>
      </c>
      <c r="G484" s="14">
        <f>28.8</f>
        <v>28.8</v>
      </c>
      <c r="H484" s="14" t="e">
        <f>NA()</f>
        <v>#N/A</v>
      </c>
      <c r="I484" s="86">
        <f>10.6</f>
        <v>10.6</v>
      </c>
      <c r="J484" s="87">
        <f>data비교작업!S487*100</f>
        <v>13.084112149532714</v>
      </c>
      <c r="K484" s="85" t="e">
        <v>#N/A</v>
      </c>
    </row>
    <row r="485" spans="1:11" ht="18" customHeight="1" x14ac:dyDescent="0.25">
      <c r="A485" s="5">
        <v>29586</v>
      </c>
      <c r="B485" s="79" t="e">
        <f>NA()</f>
        <v>#N/A</v>
      </c>
      <c r="C485" s="80" t="e">
        <v>#N/A</v>
      </c>
      <c r="D485" s="14">
        <f>53</f>
        <v>53</v>
      </c>
      <c r="E485" s="14">
        <f>16.5</f>
        <v>16.5</v>
      </c>
      <c r="F485" s="14">
        <f>42.2</f>
        <v>42.2</v>
      </c>
      <c r="G485" s="14">
        <f>32.2</f>
        <v>32.200000000000003</v>
      </c>
      <c r="H485" s="14" t="e">
        <f>NA()</f>
        <v>#N/A</v>
      </c>
      <c r="I485" s="86">
        <f>9.9</f>
        <v>9.9</v>
      </c>
      <c r="J485" s="87">
        <f>data비교작업!S488*100</f>
        <v>11.214953271028048</v>
      </c>
      <c r="K485" s="85" t="e">
        <v>#N/A</v>
      </c>
    </row>
    <row r="486" spans="1:11" ht="18" customHeight="1" x14ac:dyDescent="0.25">
      <c r="A486" s="5">
        <v>29555</v>
      </c>
      <c r="B486" s="79" t="e">
        <f>NA()</f>
        <v>#N/A</v>
      </c>
      <c r="C486" s="80" t="e">
        <v>#N/A</v>
      </c>
      <c r="D486" s="14">
        <f>58.2</f>
        <v>58.2</v>
      </c>
      <c r="E486" s="14">
        <f>17.4</f>
        <v>17.399999999999999</v>
      </c>
      <c r="F486" s="14">
        <f>38.3</f>
        <v>38.299999999999997</v>
      </c>
      <c r="G486" s="14">
        <f>31.3</f>
        <v>31.3</v>
      </c>
      <c r="H486" s="14" t="e">
        <f>NA()</f>
        <v>#N/A</v>
      </c>
      <c r="I486" s="86">
        <f>9.5</f>
        <v>9.5</v>
      </c>
      <c r="J486" s="87">
        <f>data비교작업!S489*100</f>
        <v>11.320754716981142</v>
      </c>
      <c r="K486" s="85" t="e">
        <v>#N/A</v>
      </c>
    </row>
    <row r="487" spans="1:11" ht="18" customHeight="1" x14ac:dyDescent="0.25">
      <c r="A487" s="5">
        <v>29525</v>
      </c>
      <c r="B487" s="79" t="e">
        <f>NA()</f>
        <v>#N/A</v>
      </c>
      <c r="C487" s="80" t="e">
        <v>#N/A</v>
      </c>
      <c r="D487" s="14">
        <f>55.5</f>
        <v>55.5</v>
      </c>
      <c r="E487" s="14">
        <f>20.5</f>
        <v>20.5</v>
      </c>
      <c r="F487" s="14">
        <f>36</f>
        <v>36</v>
      </c>
      <c r="G487" s="14">
        <f>32.5</f>
        <v>32.5</v>
      </c>
      <c r="H487" s="14" t="e">
        <f>NA()</f>
        <v>#N/A</v>
      </c>
      <c r="I487" s="86">
        <f>9.1</f>
        <v>9.1</v>
      </c>
      <c r="J487" s="87">
        <f>data비교작업!S490*100</f>
        <v>10.377358490566033</v>
      </c>
      <c r="K487" s="85" t="e">
        <v>#N/A</v>
      </c>
    </row>
    <row r="488" spans="1:11" ht="18" customHeight="1" x14ac:dyDescent="0.25">
      <c r="A488" s="5">
        <v>29494</v>
      </c>
      <c r="B488" s="79" t="e">
        <f>NA()</f>
        <v>#N/A</v>
      </c>
      <c r="C488" s="80" t="e">
        <v>#N/A</v>
      </c>
      <c r="D488" s="14">
        <f>50.1</f>
        <v>50.1</v>
      </c>
      <c r="E488" s="14">
        <f>8.9</f>
        <v>8.9</v>
      </c>
      <c r="F488" s="14">
        <f>35.1</f>
        <v>35.1</v>
      </c>
      <c r="G488" s="14">
        <f>29.8</f>
        <v>29.8</v>
      </c>
      <c r="H488" s="14" t="e">
        <f>NA()</f>
        <v>#N/A</v>
      </c>
      <c r="I488" s="86">
        <f>8.6</f>
        <v>8.6</v>
      </c>
      <c r="J488" s="87">
        <f>data비교작업!S491*100</f>
        <v>9.433962264150944</v>
      </c>
      <c r="K488" s="85" t="e">
        <v>#N/A</v>
      </c>
    </row>
    <row r="489" spans="1:11" ht="18" customHeight="1" x14ac:dyDescent="0.25">
      <c r="A489" s="5">
        <v>29464</v>
      </c>
      <c r="B489" s="79" t="e">
        <f>NA()</f>
        <v>#N/A</v>
      </c>
      <c r="C489" s="80" t="e">
        <v>#N/A</v>
      </c>
      <c r="D489" s="14">
        <f>45.5</f>
        <v>45.5</v>
      </c>
      <c r="E489" s="14">
        <f>12.6</f>
        <v>12.6</v>
      </c>
      <c r="F489" s="14">
        <f>34.7</f>
        <v>34.700000000000003</v>
      </c>
      <c r="G489" s="14">
        <f>29.2</f>
        <v>29.2</v>
      </c>
      <c r="H489" s="14" t="e">
        <f>NA()</f>
        <v>#N/A</v>
      </c>
      <c r="I489" s="86">
        <f>8.3</f>
        <v>8.3000000000000007</v>
      </c>
      <c r="J489" s="87">
        <f>data비교작업!S492*100</f>
        <v>9.5238095238095237</v>
      </c>
      <c r="K489" s="85" t="e">
        <v>#N/A</v>
      </c>
    </row>
    <row r="490" spans="1:11" ht="18" customHeight="1" x14ac:dyDescent="0.25">
      <c r="A490" s="5">
        <v>29433</v>
      </c>
      <c r="B490" s="79" t="e">
        <f>NA()</f>
        <v>#N/A</v>
      </c>
      <c r="C490" s="80" t="e">
        <v>#N/A</v>
      </c>
      <c r="D490" s="14">
        <f>35</f>
        <v>35</v>
      </c>
      <c r="E490" s="14">
        <f>14.8</f>
        <v>14.8</v>
      </c>
      <c r="F490" s="14">
        <f>35.9</f>
        <v>35.9</v>
      </c>
      <c r="G490" s="14">
        <f>27.5</f>
        <v>27.5</v>
      </c>
      <c r="H490" s="14" t="e">
        <f>NA()</f>
        <v>#N/A</v>
      </c>
      <c r="I490" s="86">
        <f>7.6</f>
        <v>7.6</v>
      </c>
      <c r="J490" s="87">
        <f>data비교작업!S493*100</f>
        <v>8.5714285714285747</v>
      </c>
      <c r="K490" s="85" t="e">
        <v>#N/A</v>
      </c>
    </row>
    <row r="491" spans="1:11" ht="18" customHeight="1" x14ac:dyDescent="0.25">
      <c r="A491" s="5">
        <v>29402</v>
      </c>
      <c r="B491" s="79" t="e">
        <f>NA()</f>
        <v>#N/A</v>
      </c>
      <c r="C491" s="80" t="e">
        <v>#N/A</v>
      </c>
      <c r="D491" s="14">
        <f>30.3</f>
        <v>30.3</v>
      </c>
      <c r="E491" s="14">
        <f>15.4</f>
        <v>15.4</v>
      </c>
      <c r="F491" s="14">
        <f>41.8</f>
        <v>41.8</v>
      </c>
      <c r="G491" s="14">
        <f>27</f>
        <v>27</v>
      </c>
      <c r="H491" s="14" t="e">
        <f>NA()</f>
        <v>#N/A</v>
      </c>
      <c r="I491" s="86">
        <f>7</f>
        <v>7</v>
      </c>
      <c r="J491" s="87">
        <f>data비교작업!S494*100</f>
        <v>7.6190476190476257</v>
      </c>
      <c r="K491" s="85" t="e">
        <v>#N/A</v>
      </c>
    </row>
    <row r="492" spans="1:11" ht="18" customHeight="1" x14ac:dyDescent="0.25">
      <c r="A492" s="5">
        <v>29372</v>
      </c>
      <c r="B492" s="79" t="e">
        <f>NA()</f>
        <v>#N/A</v>
      </c>
      <c r="C492" s="80" t="e">
        <v>#N/A</v>
      </c>
      <c r="D492" s="14">
        <f>29.4</f>
        <v>29.4</v>
      </c>
      <c r="E492" s="14">
        <f>10</f>
        <v>10</v>
      </c>
      <c r="F492" s="14">
        <f>42.5</f>
        <v>42.5</v>
      </c>
      <c r="G492" s="14">
        <f>26.6</f>
        <v>26.6</v>
      </c>
      <c r="H492" s="14" t="e">
        <f>NA()</f>
        <v>#N/A</v>
      </c>
      <c r="I492" s="86">
        <f>5.7</f>
        <v>5.7</v>
      </c>
      <c r="J492" s="87">
        <f>data비교작업!S495*100</f>
        <v>6.6666666666666599</v>
      </c>
      <c r="K492" s="85" t="e">
        <v>#N/A</v>
      </c>
    </row>
    <row r="493" spans="1:11" ht="18" customHeight="1" x14ac:dyDescent="0.25">
      <c r="A493" s="5">
        <v>29341</v>
      </c>
      <c r="B493" s="79" t="e">
        <f>NA()</f>
        <v>#N/A</v>
      </c>
      <c r="C493" s="80" t="e">
        <v>#N/A</v>
      </c>
      <c r="D493" s="14">
        <f>37.4</f>
        <v>37.4</v>
      </c>
      <c r="E493" s="14">
        <f>18</f>
        <v>18</v>
      </c>
      <c r="F493" s="14">
        <f>43.9</f>
        <v>43.9</v>
      </c>
      <c r="G493" s="14">
        <f>26.6</f>
        <v>26.6</v>
      </c>
      <c r="H493" s="14" t="e">
        <f>NA()</f>
        <v>#N/A</v>
      </c>
      <c r="I493" s="86">
        <f>5</f>
        <v>5</v>
      </c>
      <c r="J493" s="87">
        <f>data비교작업!S496*100</f>
        <v>4.716981132075472</v>
      </c>
      <c r="K493" s="85" t="e">
        <v>#N/A</v>
      </c>
    </row>
    <row r="494" spans="1:11" ht="18" customHeight="1" x14ac:dyDescent="0.25">
      <c r="A494" s="5">
        <v>29311</v>
      </c>
      <c r="B494" s="79" t="e">
        <f>NA()</f>
        <v>#N/A</v>
      </c>
      <c r="C494" s="80" t="e">
        <v>#N/A</v>
      </c>
      <c r="D494" s="14">
        <f>43.6</f>
        <v>43.6</v>
      </c>
      <c r="E494" s="14">
        <f>16</f>
        <v>16</v>
      </c>
      <c r="F494" s="14">
        <f>45.8</f>
        <v>45.8</v>
      </c>
      <c r="G494" s="14">
        <f>28.8</f>
        <v>28.8</v>
      </c>
      <c r="H494" s="14" t="e">
        <f>NA()</f>
        <v>#N/A</v>
      </c>
      <c r="I494" s="86">
        <f>3.7</f>
        <v>3.7</v>
      </c>
      <c r="J494" s="87">
        <f>data비교작업!S497*100</f>
        <v>2.8037383177570163</v>
      </c>
      <c r="K494" s="85" t="e">
        <v>#N/A</v>
      </c>
    </row>
    <row r="495" spans="1:11" ht="18" customHeight="1" x14ac:dyDescent="0.25">
      <c r="A495" s="5">
        <v>29280</v>
      </c>
      <c r="B495" s="79" t="e">
        <f>NA()</f>
        <v>#N/A</v>
      </c>
      <c r="C495" s="80" t="e">
        <v>#N/A</v>
      </c>
      <c r="D495" s="14">
        <f>50.2</f>
        <v>50.2</v>
      </c>
      <c r="E495" s="14">
        <f>25.5</f>
        <v>25.5</v>
      </c>
      <c r="F495" s="14">
        <f>44</f>
        <v>44</v>
      </c>
      <c r="G495" s="14">
        <f>26.4</f>
        <v>26.4</v>
      </c>
      <c r="H495" s="14" t="e">
        <f>NA()</f>
        <v>#N/A</v>
      </c>
      <c r="I495" s="86">
        <f>2.8</f>
        <v>2.8</v>
      </c>
      <c r="J495" s="87">
        <f>data비교작업!S498*100</f>
        <v>1.8691588785046829</v>
      </c>
      <c r="K495" s="85" t="e">
        <v>#N/A</v>
      </c>
    </row>
    <row r="496" spans="1:11" ht="18" customHeight="1" x14ac:dyDescent="0.25">
      <c r="A496" s="5">
        <v>29251</v>
      </c>
      <c r="B496" s="79" t="e">
        <f>NA()</f>
        <v>#N/A</v>
      </c>
      <c r="C496" s="80" t="e">
        <v>#N/A</v>
      </c>
      <c r="D496" s="14">
        <f>46.2</f>
        <v>46.2</v>
      </c>
      <c r="E496" s="14">
        <f>25.5</f>
        <v>25.5</v>
      </c>
      <c r="F496" s="14">
        <f>28.4</f>
        <v>28.4</v>
      </c>
      <c r="G496" s="14">
        <f>25.4</f>
        <v>25.4</v>
      </c>
      <c r="H496" s="14" t="e">
        <f>NA()</f>
        <v>#N/A</v>
      </c>
      <c r="I496" s="86">
        <f>1.8</f>
        <v>1.8</v>
      </c>
      <c r="J496" s="87">
        <f>data비교작업!S499*100</f>
        <v>0</v>
      </c>
      <c r="K496" s="85" t="e">
        <v>#N/A</v>
      </c>
    </row>
    <row r="497" spans="1:11" ht="18" customHeight="1" x14ac:dyDescent="0.25">
      <c r="A497" s="5">
        <v>29220</v>
      </c>
      <c r="B497" s="79" t="e">
        <f>NA()</f>
        <v>#N/A</v>
      </c>
      <c r="C497" s="80" t="e">
        <v>#N/A</v>
      </c>
      <c r="D497" s="14">
        <f>44.8</f>
        <v>44.8</v>
      </c>
      <c r="E497" s="14">
        <f>10.3</f>
        <v>10.3</v>
      </c>
      <c r="F497" s="14">
        <f>23.8</f>
        <v>23.8</v>
      </c>
      <c r="G497" s="14">
        <f>21.2</f>
        <v>21.2</v>
      </c>
      <c r="H497" s="14" t="e">
        <f>NA()</f>
        <v>#N/A</v>
      </c>
      <c r="I497" s="86">
        <f>1.3</f>
        <v>1.3</v>
      </c>
      <c r="J497" s="87">
        <f>data비교작업!S500*100</f>
        <v>0.94339622641509102</v>
      </c>
      <c r="K497" s="85" t="e">
        <v>#N/A</v>
      </c>
    </row>
    <row r="498" spans="1:11" ht="18" customHeight="1" x14ac:dyDescent="0.25">
      <c r="A498" s="5">
        <v>29189</v>
      </c>
      <c r="B498" s="79" t="e">
        <f>NA()</f>
        <v>#N/A</v>
      </c>
      <c r="C498" s="80" t="e">
        <v>#N/A</v>
      </c>
      <c r="D498" s="14">
        <f>48</f>
        <v>48</v>
      </c>
      <c r="E498" s="14">
        <f>18.6</f>
        <v>18.600000000000001</v>
      </c>
      <c r="F498" s="14">
        <f>22.9</f>
        <v>22.9</v>
      </c>
      <c r="G498" s="14">
        <f>18.8</f>
        <v>18.8</v>
      </c>
      <c r="H498" s="14" t="e">
        <f>NA()</f>
        <v>#N/A</v>
      </c>
      <c r="I498" s="86">
        <f>1.2</f>
        <v>1.2</v>
      </c>
      <c r="J498" s="87">
        <f>data비교작업!S501*100</f>
        <v>0.952380952380949</v>
      </c>
      <c r="K498" s="85" t="e">
        <v>#N/A</v>
      </c>
    </row>
    <row r="499" spans="1:11" ht="18" customHeight="1" x14ac:dyDescent="0.25">
      <c r="A499" s="5">
        <v>29159</v>
      </c>
      <c r="B499" s="79" t="e">
        <f>NA()</f>
        <v>#N/A</v>
      </c>
      <c r="C499" s="80" t="e">
        <v>#N/A</v>
      </c>
      <c r="D499" s="14">
        <f>49</f>
        <v>49</v>
      </c>
      <c r="E499" s="14">
        <f>11.5</f>
        <v>11.5</v>
      </c>
      <c r="F499" s="14">
        <f>24</f>
        <v>24</v>
      </c>
      <c r="G499" s="14">
        <f>17.6</f>
        <v>17.600000000000001</v>
      </c>
      <c r="H499" s="14" t="e">
        <f>NA()</f>
        <v>#N/A</v>
      </c>
      <c r="I499" s="86">
        <f>1.5</f>
        <v>1.5</v>
      </c>
      <c r="J499" s="87">
        <f>data비교작업!S502*100</f>
        <v>0.952380952380949</v>
      </c>
      <c r="K499" s="85" t="e">
        <v>#N/A</v>
      </c>
    </row>
    <row r="500" spans="1:11" ht="18" customHeight="1" x14ac:dyDescent="0.25">
      <c r="A500" s="5">
        <v>29128</v>
      </c>
      <c r="B500" s="79" t="e">
        <f>NA()</f>
        <v>#N/A</v>
      </c>
      <c r="C500" s="80" t="e">
        <v>#N/A</v>
      </c>
      <c r="D500" s="14">
        <f>49.6</f>
        <v>49.6</v>
      </c>
      <c r="E500" s="14">
        <f>23.1</f>
        <v>23.1</v>
      </c>
      <c r="F500" s="14">
        <f>24.4</f>
        <v>24.4</v>
      </c>
      <c r="G500" s="14">
        <f>17.9</f>
        <v>17.899999999999999</v>
      </c>
      <c r="H500" s="14" t="e">
        <f>NA()</f>
        <v>#N/A</v>
      </c>
      <c r="I500" s="86">
        <f>1.5</f>
        <v>1.5</v>
      </c>
      <c r="J500" s="87">
        <f>data비교작업!S503*100</f>
        <v>1.9230769230769162</v>
      </c>
      <c r="K500" s="85" t="e">
        <v>#N/A</v>
      </c>
    </row>
    <row r="501" spans="1:11" ht="18" customHeight="1" x14ac:dyDescent="0.25">
      <c r="A501" s="5">
        <v>29098</v>
      </c>
      <c r="B501" s="79" t="e">
        <f>NA()</f>
        <v>#N/A</v>
      </c>
      <c r="C501" s="80" t="e">
        <v>#N/A</v>
      </c>
      <c r="D501" s="14">
        <f>49.5</f>
        <v>49.5</v>
      </c>
      <c r="E501" s="14">
        <f>26.8</f>
        <v>26.8</v>
      </c>
      <c r="F501" s="14">
        <f>25.2</f>
        <v>25.2</v>
      </c>
      <c r="G501" s="14">
        <f>18.6</f>
        <v>18.600000000000001</v>
      </c>
      <c r="H501" s="14" t="e">
        <f>NA()</f>
        <v>#N/A</v>
      </c>
      <c r="I501" s="86">
        <f>1.3</f>
        <v>1.3</v>
      </c>
      <c r="J501" s="87">
        <f>data비교작업!S504*100</f>
        <v>1.9417475728155269</v>
      </c>
      <c r="K501" s="85" t="e">
        <v>#N/A</v>
      </c>
    </row>
    <row r="502" spans="1:11" ht="18" customHeight="1" x14ac:dyDescent="0.25">
      <c r="A502" s="5">
        <v>29067</v>
      </c>
      <c r="B502" s="79" t="e">
        <f>NA()</f>
        <v>#N/A</v>
      </c>
      <c r="C502" s="80" t="e">
        <v>#N/A</v>
      </c>
      <c r="D502" s="14">
        <f>51.3</f>
        <v>51.3</v>
      </c>
      <c r="E502" s="14">
        <f>23.3</f>
        <v>23.3</v>
      </c>
      <c r="F502" s="14">
        <f>21.5</f>
        <v>21.5</v>
      </c>
      <c r="G502" s="14">
        <f>18.5</f>
        <v>18.5</v>
      </c>
      <c r="H502" s="14" t="e">
        <f>NA()</f>
        <v>#N/A</v>
      </c>
      <c r="I502" s="86">
        <f>1.5</f>
        <v>1.5</v>
      </c>
      <c r="J502" s="87">
        <f>data비교작업!S505*100</f>
        <v>1.9417475728155269</v>
      </c>
      <c r="K502" s="85" t="e">
        <v>#N/A</v>
      </c>
    </row>
    <row r="503" spans="1:11" ht="18" customHeight="1" x14ac:dyDescent="0.25">
      <c r="A503" s="5">
        <v>29036</v>
      </c>
      <c r="B503" s="79" t="e">
        <f>NA()</f>
        <v>#N/A</v>
      </c>
      <c r="C503" s="80" t="e">
        <v>#N/A</v>
      </c>
      <c r="D503" s="14">
        <f>52.7</f>
        <v>52.7</v>
      </c>
      <c r="E503" s="14">
        <f>20.6</f>
        <v>20.6</v>
      </c>
      <c r="F503" s="14">
        <f>16.2</f>
        <v>16.2</v>
      </c>
      <c r="G503" s="14">
        <f>19.6</f>
        <v>19.600000000000001</v>
      </c>
      <c r="H503" s="14" t="e">
        <f>NA()</f>
        <v>#N/A</v>
      </c>
      <c r="I503" s="86">
        <f>2.1</f>
        <v>2.1</v>
      </c>
      <c r="J503" s="87">
        <f>data비교작업!S506*100</f>
        <v>2.9411764705882426</v>
      </c>
      <c r="K503" s="85" t="e">
        <v>#N/A</v>
      </c>
    </row>
    <row r="504" spans="1:11" ht="18" customHeight="1" x14ac:dyDescent="0.25">
      <c r="A504" s="5">
        <v>29006</v>
      </c>
      <c r="B504" s="79" t="e">
        <f>NA()</f>
        <v>#N/A</v>
      </c>
      <c r="C504" s="80" t="e">
        <v>#N/A</v>
      </c>
      <c r="D504" s="14">
        <f>54.4</f>
        <v>54.4</v>
      </c>
      <c r="E504" s="14">
        <f>26.1</f>
        <v>26.1</v>
      </c>
      <c r="F504" s="14">
        <f>17</f>
        <v>17</v>
      </c>
      <c r="G504" s="14">
        <f>21.8</f>
        <v>21.8</v>
      </c>
      <c r="H504" s="14" t="e">
        <f>NA()</f>
        <v>#N/A</v>
      </c>
      <c r="I504" s="86">
        <f>2.7</f>
        <v>2.7</v>
      </c>
      <c r="J504" s="87">
        <f>data비교작업!S507*100</f>
        <v>2.9411764705882426</v>
      </c>
      <c r="K504" s="85" t="e">
        <v>#N/A</v>
      </c>
    </row>
    <row r="505" spans="1:11" ht="18" customHeight="1" x14ac:dyDescent="0.25">
      <c r="A505" s="5">
        <v>28975</v>
      </c>
      <c r="B505" s="79" t="e">
        <f>NA()</f>
        <v>#N/A</v>
      </c>
      <c r="C505" s="80" t="e">
        <v>#N/A</v>
      </c>
      <c r="D505" s="14">
        <f>56.2</f>
        <v>56.2</v>
      </c>
      <c r="E505" s="14">
        <f>12.2</f>
        <v>12.2</v>
      </c>
      <c r="F505" s="14">
        <f>14.8</f>
        <v>14.8</v>
      </c>
      <c r="G505" s="14">
        <f>19.3</f>
        <v>19.3</v>
      </c>
      <c r="H505" s="14" t="e">
        <f>NA()</f>
        <v>#N/A</v>
      </c>
      <c r="I505" s="86">
        <f>4.6</f>
        <v>4.5999999999999996</v>
      </c>
      <c r="J505" s="87">
        <f>data비교작업!S508*100</f>
        <v>3.9215686274509838</v>
      </c>
      <c r="K505" s="85" t="e">
        <v>#N/A</v>
      </c>
    </row>
    <row r="506" spans="1:11" ht="18" customHeight="1" x14ac:dyDescent="0.25">
      <c r="A506" s="5">
        <v>28945</v>
      </c>
      <c r="B506" s="79" t="e">
        <f>NA()</f>
        <v>#N/A</v>
      </c>
      <c r="C506" s="80" t="e">
        <v>#N/A</v>
      </c>
      <c r="D506" s="14">
        <f>57.7</f>
        <v>57.7</v>
      </c>
      <c r="E506" s="14">
        <f>20.5</f>
        <v>20.5</v>
      </c>
      <c r="F506" s="14">
        <f>12.4</f>
        <v>12.4</v>
      </c>
      <c r="G506" s="14">
        <f>16.3</f>
        <v>16.3</v>
      </c>
      <c r="H506" s="14" t="e">
        <f>NA()</f>
        <v>#N/A</v>
      </c>
      <c r="I506" s="86">
        <f>6.4</f>
        <v>6.4</v>
      </c>
      <c r="J506" s="87">
        <f>data비교작업!S509*100</f>
        <v>5.9405940594059379</v>
      </c>
      <c r="K506" s="85" t="e">
        <v>#N/A</v>
      </c>
    </row>
    <row r="507" spans="1:11" ht="18" customHeight="1" x14ac:dyDescent="0.25">
      <c r="A507" s="5">
        <v>28914</v>
      </c>
      <c r="B507" s="79" t="e">
        <f>NA()</f>
        <v>#N/A</v>
      </c>
      <c r="C507" s="80" t="e">
        <v>#N/A</v>
      </c>
      <c r="D507" s="14">
        <f>58.2</f>
        <v>58.2</v>
      </c>
      <c r="E507" s="14">
        <f>21.8</f>
        <v>21.8</v>
      </c>
      <c r="F507" s="14">
        <f>10.1</f>
        <v>10.1</v>
      </c>
      <c r="G507" s="14">
        <f>15.7</f>
        <v>15.7</v>
      </c>
      <c r="H507" s="14" t="e">
        <f>NA()</f>
        <v>#N/A</v>
      </c>
      <c r="I507" s="86">
        <f>7.5</f>
        <v>7.5</v>
      </c>
      <c r="J507" s="87">
        <f>data비교작업!S510*100</f>
        <v>6.999999999999992</v>
      </c>
      <c r="K507" s="85" t="e">
        <v>#N/A</v>
      </c>
    </row>
    <row r="508" spans="1:11" ht="18" customHeight="1" x14ac:dyDescent="0.25">
      <c r="A508" s="5">
        <v>28886</v>
      </c>
      <c r="B508" s="79" t="e">
        <f>NA()</f>
        <v>#N/A</v>
      </c>
      <c r="C508" s="80" t="e">
        <v>#N/A</v>
      </c>
      <c r="D508" s="14">
        <f>58.5</f>
        <v>58.5</v>
      </c>
      <c r="E508" s="14">
        <f>8.5</f>
        <v>8.5</v>
      </c>
      <c r="F508" s="14">
        <f>10.4</f>
        <v>10.4</v>
      </c>
      <c r="G508" s="14">
        <f>14.1</f>
        <v>14.1</v>
      </c>
      <c r="H508" s="14" t="e">
        <f>NA()</f>
        <v>#N/A</v>
      </c>
      <c r="I508" s="86">
        <f>8.4</f>
        <v>8.4</v>
      </c>
      <c r="J508" s="87">
        <f>data비교작업!S511*100</f>
        <v>9.18367346938774</v>
      </c>
      <c r="K508" s="85" t="e">
        <v>#N/A</v>
      </c>
    </row>
    <row r="509" spans="1:11" ht="18" customHeight="1" x14ac:dyDescent="0.25">
      <c r="A509" s="5">
        <v>28855</v>
      </c>
      <c r="B509" s="79" t="e">
        <f>NA()</f>
        <v>#N/A</v>
      </c>
      <c r="C509" s="80" t="e">
        <v>#N/A</v>
      </c>
      <c r="D509" s="14">
        <f>59.4</f>
        <v>59.4</v>
      </c>
      <c r="E509" s="14">
        <f>2.6</f>
        <v>2.6</v>
      </c>
      <c r="F509" s="14">
        <f>12.2</f>
        <v>12.2</v>
      </c>
      <c r="G509" s="14">
        <f>16.4</f>
        <v>16.399999999999999</v>
      </c>
      <c r="H509" s="14" t="e">
        <f>NA()</f>
        <v>#N/A</v>
      </c>
      <c r="I509" s="86">
        <f>7.9</f>
        <v>7.9</v>
      </c>
      <c r="J509" s="87">
        <f>data비교작업!S512*100</f>
        <v>9.2783505154639219</v>
      </c>
      <c r="K509" s="85" t="e">
        <v>#N/A</v>
      </c>
    </row>
    <row r="510" spans="1:11" ht="18" customHeight="1" x14ac:dyDescent="0.25">
      <c r="A510" s="5">
        <v>28824</v>
      </c>
      <c r="B510" s="79" t="e">
        <f>NA()</f>
        <v>#N/A</v>
      </c>
      <c r="C510" s="80" t="e">
        <v>#N/A</v>
      </c>
      <c r="D510" s="14">
        <f>61.3</f>
        <v>61.3</v>
      </c>
      <c r="E510" s="14">
        <f>26.5</f>
        <v>26.5</v>
      </c>
      <c r="F510" s="14">
        <f>13.4</f>
        <v>13.4</v>
      </c>
      <c r="G510" s="14">
        <f>17</f>
        <v>17</v>
      </c>
      <c r="H510" s="14" t="e">
        <f>NA()</f>
        <v>#N/A</v>
      </c>
      <c r="I510" s="86">
        <f>8.4</f>
        <v>8.4</v>
      </c>
      <c r="J510" s="87">
        <f>data비교작업!S513*100</f>
        <v>9.3750000000000036</v>
      </c>
      <c r="K510" s="85" t="e">
        <v>#N/A</v>
      </c>
    </row>
    <row r="511" spans="1:11" ht="18" customHeight="1" x14ac:dyDescent="0.25">
      <c r="A511" s="5">
        <v>28794</v>
      </c>
      <c r="B511" s="79" t="e">
        <f>NA()</f>
        <v>#N/A</v>
      </c>
      <c r="C511" s="80" t="e">
        <v>#N/A</v>
      </c>
      <c r="D511" s="14">
        <f>60.1</f>
        <v>60.1</v>
      </c>
      <c r="E511" s="14">
        <f>73.2</f>
        <v>73.2</v>
      </c>
      <c r="F511" s="14">
        <f>13.1</f>
        <v>13.1</v>
      </c>
      <c r="G511" s="14">
        <f>16.8</f>
        <v>16.8</v>
      </c>
      <c r="H511" s="14" t="e">
        <f>NA()</f>
        <v>#N/A</v>
      </c>
      <c r="I511" s="86">
        <f>8.9</f>
        <v>8.9</v>
      </c>
      <c r="J511" s="87">
        <f>data비교작업!S514*100</f>
        <v>10.526315789473683</v>
      </c>
      <c r="K511" s="85" t="e">
        <v>#N/A</v>
      </c>
    </row>
    <row r="512" spans="1:11" ht="18" customHeight="1" x14ac:dyDescent="0.25">
      <c r="A512" s="5">
        <v>28763</v>
      </c>
      <c r="B512" s="79" t="e">
        <f>NA()</f>
        <v>#N/A</v>
      </c>
      <c r="C512" s="80" t="e">
        <v>#N/A</v>
      </c>
      <c r="D512" s="14">
        <f>60.5</f>
        <v>60.5</v>
      </c>
      <c r="E512" s="14">
        <f>32</f>
        <v>32</v>
      </c>
      <c r="F512" s="14">
        <f>12.3</f>
        <v>12.3</v>
      </c>
      <c r="G512" s="14">
        <f>15.5</f>
        <v>15.5</v>
      </c>
      <c r="H512" s="14" t="e">
        <f>NA()</f>
        <v>#N/A</v>
      </c>
      <c r="I512" s="86">
        <f>9.5</f>
        <v>9.5</v>
      </c>
      <c r="J512" s="87">
        <f>data비교작업!S515*100</f>
        <v>9.4736842105263186</v>
      </c>
      <c r="K512" s="85" t="e">
        <v>#N/A</v>
      </c>
    </row>
    <row r="513" spans="1:11" ht="18" customHeight="1" x14ac:dyDescent="0.25">
      <c r="A513" s="5">
        <v>28733</v>
      </c>
      <c r="B513" s="79" t="e">
        <f>NA()</f>
        <v>#N/A</v>
      </c>
      <c r="C513" s="80" t="e">
        <v>#N/A</v>
      </c>
      <c r="D513" s="14">
        <f>60.3</f>
        <v>60.3</v>
      </c>
      <c r="E513" s="14">
        <f>21.2</f>
        <v>21.2</v>
      </c>
      <c r="F513" s="14">
        <f>10.9</f>
        <v>10.9</v>
      </c>
      <c r="G513" s="14">
        <f>13.5</f>
        <v>13.5</v>
      </c>
      <c r="H513" s="14" t="e">
        <f>NA()</f>
        <v>#N/A</v>
      </c>
      <c r="I513" s="86">
        <f>9.6</f>
        <v>9.6</v>
      </c>
      <c r="J513" s="87">
        <f>data비교작업!S516*100</f>
        <v>9.5744680851063872</v>
      </c>
      <c r="K513" s="85" t="e">
        <v>#N/A</v>
      </c>
    </row>
    <row r="514" spans="1:11" ht="18" customHeight="1" x14ac:dyDescent="0.25">
      <c r="A514" s="5">
        <v>28702</v>
      </c>
      <c r="B514" s="79" t="e">
        <f>NA()</f>
        <v>#N/A</v>
      </c>
      <c r="C514" s="80" t="e">
        <v>#N/A</v>
      </c>
      <c r="D514" s="14">
        <f>62.2</f>
        <v>62.2</v>
      </c>
      <c r="E514" s="14">
        <f>25.3</f>
        <v>25.3</v>
      </c>
      <c r="F514" s="14">
        <f>11.7</f>
        <v>11.7</v>
      </c>
      <c r="G514" s="14">
        <f>14.8</f>
        <v>14.8</v>
      </c>
      <c r="H514" s="14" t="e">
        <f>NA()</f>
        <v>#N/A</v>
      </c>
      <c r="I514" s="86">
        <f>10</f>
        <v>10</v>
      </c>
      <c r="J514" s="87">
        <f>data비교작업!S517*100</f>
        <v>10.75268817204301</v>
      </c>
      <c r="K514" s="85" t="e">
        <v>#N/A</v>
      </c>
    </row>
    <row r="515" spans="1:11" ht="18" customHeight="1" x14ac:dyDescent="0.25">
      <c r="A515" s="5">
        <v>28671</v>
      </c>
      <c r="B515" s="79" t="e">
        <f>NA()</f>
        <v>#N/A</v>
      </c>
      <c r="C515" s="80" t="e">
        <v>#N/A</v>
      </c>
      <c r="D515" s="14">
        <f>60.5</f>
        <v>60.5</v>
      </c>
      <c r="E515" s="14">
        <f>18.6</f>
        <v>18.600000000000001</v>
      </c>
      <c r="F515" s="14">
        <f>11.7</f>
        <v>11.7</v>
      </c>
      <c r="G515" s="14">
        <f>14.6</f>
        <v>14.6</v>
      </c>
      <c r="H515" s="14" t="e">
        <f>NA()</f>
        <v>#N/A</v>
      </c>
      <c r="I515" s="86">
        <f>10.5</f>
        <v>10.5</v>
      </c>
      <c r="J515" s="87">
        <f>data비교작업!S518*100</f>
        <v>10.869565217391305</v>
      </c>
      <c r="K515" s="85" t="e">
        <v>#N/A</v>
      </c>
    </row>
    <row r="516" spans="1:11" ht="18" customHeight="1" x14ac:dyDescent="0.25">
      <c r="A516" s="5">
        <v>28641</v>
      </c>
      <c r="B516" s="79" t="e">
        <f>NA()</f>
        <v>#N/A</v>
      </c>
      <c r="C516" s="80" t="e">
        <v>#N/A</v>
      </c>
      <c r="D516" s="14">
        <f>60.2</f>
        <v>60.2</v>
      </c>
      <c r="E516" s="14">
        <f>27.1</f>
        <v>27.1</v>
      </c>
      <c r="F516" s="14">
        <f>11.2</f>
        <v>11.2</v>
      </c>
      <c r="G516" s="14">
        <f>12.6</f>
        <v>12.6</v>
      </c>
      <c r="H516" s="14" t="e">
        <f>NA()</f>
        <v>#N/A</v>
      </c>
      <c r="I516" s="86">
        <f>11.6</f>
        <v>11.6</v>
      </c>
      <c r="J516" s="87">
        <f>data비교작업!S519*100</f>
        <v>13.333333333333325</v>
      </c>
      <c r="K516" s="85" t="e">
        <v>#N/A</v>
      </c>
    </row>
    <row r="517" spans="1:11" ht="18" customHeight="1" x14ac:dyDescent="0.25">
      <c r="A517" s="5">
        <v>28610</v>
      </c>
      <c r="B517" s="79" t="e">
        <f>NA()</f>
        <v>#N/A</v>
      </c>
      <c r="C517" s="80" t="e">
        <v>#N/A</v>
      </c>
      <c r="D517" s="14">
        <f>57.7</f>
        <v>57.7</v>
      </c>
      <c r="E517" s="14">
        <f>28.6</f>
        <v>28.6</v>
      </c>
      <c r="F517" s="14">
        <f>10.9</f>
        <v>10.9</v>
      </c>
      <c r="G517" s="14">
        <f>12.6</f>
        <v>12.6</v>
      </c>
      <c r="H517" s="14" t="e">
        <f>NA()</f>
        <v>#N/A</v>
      </c>
      <c r="I517" s="86">
        <f>11.9</f>
        <v>11.9</v>
      </c>
      <c r="J517" s="87">
        <f>data비교작업!S520*100</f>
        <v>13.333333333333325</v>
      </c>
      <c r="K517" s="85" t="e">
        <v>#N/A</v>
      </c>
    </row>
    <row r="518" spans="1:11" ht="18" customHeight="1" x14ac:dyDescent="0.25">
      <c r="A518" s="5">
        <v>28580</v>
      </c>
      <c r="B518" s="79" t="e">
        <f>NA()</f>
        <v>#N/A</v>
      </c>
      <c r="C518" s="80" t="e">
        <v>#N/A</v>
      </c>
      <c r="D518" s="14">
        <f>55</f>
        <v>55</v>
      </c>
      <c r="E518" s="14">
        <f>32.3</f>
        <v>32.299999999999997</v>
      </c>
      <c r="F518" s="14">
        <f>10.6</f>
        <v>10.6</v>
      </c>
      <c r="G518" s="14">
        <f>12.9</f>
        <v>12.9</v>
      </c>
      <c r="H518" s="14" t="e">
        <f>NA()</f>
        <v>#N/A</v>
      </c>
      <c r="I518" s="86">
        <f>11.8</f>
        <v>11.8</v>
      </c>
      <c r="J518" s="87">
        <f>data비교작업!S521*100</f>
        <v>13.483146067415722</v>
      </c>
      <c r="K518" s="85" t="e">
        <v>#N/A</v>
      </c>
    </row>
    <row r="519" spans="1:11" ht="18" customHeight="1" x14ac:dyDescent="0.25">
      <c r="A519" s="5">
        <v>28549</v>
      </c>
      <c r="B519" s="79" t="e">
        <f>NA()</f>
        <v>#N/A</v>
      </c>
      <c r="C519" s="80" t="e">
        <v>#N/A</v>
      </c>
      <c r="D519" s="14">
        <f>55.9</f>
        <v>55.9</v>
      </c>
      <c r="E519" s="14">
        <f>31.5</f>
        <v>31.5</v>
      </c>
      <c r="F519" s="14">
        <f>10.9</f>
        <v>10.9</v>
      </c>
      <c r="G519" s="14">
        <f>13</f>
        <v>13</v>
      </c>
      <c r="H519" s="14" t="e">
        <f>NA()</f>
        <v>#N/A</v>
      </c>
      <c r="I519" s="86">
        <f>11.5</f>
        <v>11.5</v>
      </c>
      <c r="J519" s="87">
        <f>data비교작업!S522*100</f>
        <v>12.359550561797748</v>
      </c>
      <c r="K519" s="85" t="e">
        <v>#N/A</v>
      </c>
    </row>
    <row r="520" spans="1:11" ht="18" customHeight="1" x14ac:dyDescent="0.25">
      <c r="A520" s="5">
        <v>28521</v>
      </c>
      <c r="B520" s="79" t="e">
        <f>NA()</f>
        <v>#N/A</v>
      </c>
      <c r="C520" s="80" t="e">
        <v>#N/A</v>
      </c>
      <c r="D520" s="14">
        <f>57.4</f>
        <v>57.4</v>
      </c>
      <c r="E520" s="14">
        <f>20.5</f>
        <v>20.5</v>
      </c>
      <c r="F520" s="14">
        <f>11.3</f>
        <v>11.3</v>
      </c>
      <c r="G520" s="14">
        <f>13.3</f>
        <v>13.3</v>
      </c>
      <c r="H520" s="14" t="e">
        <f>NA()</f>
        <v>#N/A</v>
      </c>
      <c r="I520" s="86">
        <f>10.9</f>
        <v>10.9</v>
      </c>
      <c r="J520" s="87">
        <f>data비교작업!S523*100</f>
        <v>11.363636363636363</v>
      </c>
      <c r="K520" s="85" t="e">
        <v>#N/A</v>
      </c>
    </row>
    <row r="521" spans="1:11" ht="18" customHeight="1" x14ac:dyDescent="0.25">
      <c r="A521" s="5">
        <v>28490</v>
      </c>
      <c r="B521" s="79" t="e">
        <f>NA()</f>
        <v>#N/A</v>
      </c>
      <c r="C521" s="80" t="e">
        <v>#N/A</v>
      </c>
      <c r="D521" s="14">
        <f>59.8</f>
        <v>59.8</v>
      </c>
      <c r="E521" s="14">
        <f>63.1</f>
        <v>63.1</v>
      </c>
      <c r="F521" s="14">
        <f>10.1</f>
        <v>10.1</v>
      </c>
      <c r="G521" s="14">
        <f>11</f>
        <v>11</v>
      </c>
      <c r="H521" s="14" t="e">
        <f>NA()</f>
        <v>#N/A</v>
      </c>
      <c r="I521" s="86">
        <f>10.6</f>
        <v>10.6</v>
      </c>
      <c r="J521" s="87">
        <f>data비교작업!S524*100</f>
        <v>10.227272727272711</v>
      </c>
      <c r="K521" s="85" t="e">
        <v>#N/A</v>
      </c>
    </row>
    <row r="522" spans="1:11" ht="18" customHeight="1" x14ac:dyDescent="0.25">
      <c r="A522" s="5">
        <v>28459</v>
      </c>
      <c r="B522" s="79" t="e">
        <f>NA()</f>
        <v>#N/A</v>
      </c>
      <c r="C522" s="80" t="e">
        <v>#N/A</v>
      </c>
      <c r="D522" s="14">
        <f>56.1</f>
        <v>56.1</v>
      </c>
      <c r="E522" s="14">
        <f>28.9</f>
        <v>28.9</v>
      </c>
      <c r="F522" s="14">
        <f>8.7</f>
        <v>8.6999999999999993</v>
      </c>
      <c r="G522" s="14">
        <f>10.6</f>
        <v>10.6</v>
      </c>
      <c r="H522" s="14" t="e">
        <f>NA()</f>
        <v>#N/A</v>
      </c>
      <c r="I522" s="86">
        <f>10.4</f>
        <v>10.4</v>
      </c>
      <c r="J522" s="87">
        <f>data비교작업!S525*100</f>
        <v>10.344827586206902</v>
      </c>
      <c r="K522" s="85" t="e">
        <v>#N/A</v>
      </c>
    </row>
    <row r="523" spans="1:11" ht="18" customHeight="1" x14ac:dyDescent="0.25">
      <c r="A523" s="5">
        <v>28429</v>
      </c>
      <c r="B523" s="79" t="e">
        <f>NA()</f>
        <v>#N/A</v>
      </c>
      <c r="C523" s="80" t="e">
        <v>#N/A</v>
      </c>
      <c r="D523" s="14">
        <f>55.4</f>
        <v>55.4</v>
      </c>
      <c r="E523" s="14">
        <f>4.6</f>
        <v>4.5999999999999996</v>
      </c>
      <c r="F523" s="14">
        <f>9.3</f>
        <v>9.3000000000000007</v>
      </c>
      <c r="G523" s="14">
        <f>10.1</f>
        <v>10.1</v>
      </c>
      <c r="H523" s="14" t="e">
        <f>NA()</f>
        <v>#N/A</v>
      </c>
      <c r="I523" s="86">
        <f>10</f>
        <v>10</v>
      </c>
      <c r="J523" s="87">
        <f>data비교작업!S526*100</f>
        <v>10.465116279069772</v>
      </c>
      <c r="K523" s="85" t="e">
        <v>#N/A</v>
      </c>
    </row>
    <row r="524" spans="1:11" ht="18" customHeight="1" x14ac:dyDescent="0.25">
      <c r="A524" s="5">
        <v>28398</v>
      </c>
      <c r="B524" s="79" t="e">
        <f>NA()</f>
        <v>#N/A</v>
      </c>
      <c r="C524" s="80" t="e">
        <v>#N/A</v>
      </c>
      <c r="D524" s="14">
        <f>53.9</f>
        <v>53.9</v>
      </c>
      <c r="E524" s="14">
        <f>30</f>
        <v>30</v>
      </c>
      <c r="F524" s="14">
        <f>9.3</f>
        <v>9.3000000000000007</v>
      </c>
      <c r="G524" s="14">
        <f>9.2</f>
        <v>9.1999999999999993</v>
      </c>
      <c r="H524" s="14" t="e">
        <f>NA()</f>
        <v>#N/A</v>
      </c>
      <c r="I524" s="86">
        <f>10</f>
        <v>10</v>
      </c>
      <c r="J524" s="87">
        <f>data비교작업!S527*100</f>
        <v>10.465116279069772</v>
      </c>
      <c r="K524" s="85" t="e">
        <v>#N/A</v>
      </c>
    </row>
    <row r="525" spans="1:11" ht="18" customHeight="1" x14ac:dyDescent="0.25">
      <c r="A525" s="5">
        <v>28368</v>
      </c>
      <c r="B525" s="79" t="e">
        <f>NA()</f>
        <v>#N/A</v>
      </c>
      <c r="C525" s="80" t="e">
        <v>#N/A</v>
      </c>
      <c r="D525" s="14">
        <f>54.9</f>
        <v>54.9</v>
      </c>
      <c r="E525" s="14">
        <f>26.9</f>
        <v>26.9</v>
      </c>
      <c r="F525" s="14">
        <f>9.2</f>
        <v>9.1999999999999993</v>
      </c>
      <c r="G525" s="14">
        <f>9.7</f>
        <v>9.6999999999999993</v>
      </c>
      <c r="H525" s="14" t="e">
        <f>NA()</f>
        <v>#N/A</v>
      </c>
      <c r="I525" s="86">
        <f>10.4</f>
        <v>10.4</v>
      </c>
      <c r="J525" s="87">
        <f>data비교작업!S528*100</f>
        <v>10.58823529411765</v>
      </c>
      <c r="K525" s="85" t="e">
        <v>#N/A</v>
      </c>
    </row>
    <row r="526" spans="1:11" ht="18" customHeight="1" x14ac:dyDescent="0.25">
      <c r="A526" s="5">
        <v>28337</v>
      </c>
      <c r="B526" s="79" t="e">
        <f>NA()</f>
        <v>#N/A</v>
      </c>
      <c r="C526" s="80" t="e">
        <v>#N/A</v>
      </c>
      <c r="D526" s="14">
        <f>57.7</f>
        <v>57.7</v>
      </c>
      <c r="E526" s="14">
        <f>12.5</f>
        <v>12.5</v>
      </c>
      <c r="F526" s="14">
        <f>8.9</f>
        <v>8.9</v>
      </c>
      <c r="G526" s="14">
        <f>9.4</f>
        <v>9.4</v>
      </c>
      <c r="H526" s="14" t="e">
        <f>NA()</f>
        <v>#N/A</v>
      </c>
      <c r="I526" s="86">
        <f>10.1</f>
        <v>10.1</v>
      </c>
      <c r="J526" s="87">
        <f>data비교작업!S529*100</f>
        <v>9.4117647058823604</v>
      </c>
      <c r="K526" s="85" t="e">
        <v>#N/A</v>
      </c>
    </row>
    <row r="527" spans="1:11" ht="18" customHeight="1" x14ac:dyDescent="0.25">
      <c r="A527" s="5">
        <v>28306</v>
      </c>
      <c r="B527" s="79" t="e">
        <f>NA()</f>
        <v>#N/A</v>
      </c>
      <c r="C527" s="80" t="e">
        <v>#N/A</v>
      </c>
      <c r="D527" s="14">
        <f>56.8</f>
        <v>56.8</v>
      </c>
      <c r="E527" s="14">
        <f>21.9</f>
        <v>21.9</v>
      </c>
      <c r="F527" s="14">
        <f>9</f>
        <v>9</v>
      </c>
      <c r="G527" s="14">
        <f>10.1</f>
        <v>10.1</v>
      </c>
      <c r="H527" s="14" t="e">
        <f>NA()</f>
        <v>#N/A</v>
      </c>
      <c r="I527" s="86">
        <f>9.7</f>
        <v>9.6999999999999993</v>
      </c>
      <c r="J527" s="87">
        <f>data비교작업!S530*100</f>
        <v>9.5238095238095113</v>
      </c>
      <c r="K527" s="85" t="e">
        <v>#N/A</v>
      </c>
    </row>
    <row r="528" spans="1:11" ht="18" customHeight="1" x14ac:dyDescent="0.25">
      <c r="A528" s="5">
        <v>28276</v>
      </c>
      <c r="B528" s="79" t="e">
        <f>NA()</f>
        <v>#N/A</v>
      </c>
      <c r="C528" s="80" t="e">
        <v>#N/A</v>
      </c>
      <c r="D528" s="14">
        <f>59.7</f>
        <v>59.7</v>
      </c>
      <c r="E528" s="14">
        <f>18.4</f>
        <v>18.399999999999999</v>
      </c>
      <c r="F528" s="14">
        <f>8.7</f>
        <v>8.6999999999999993</v>
      </c>
      <c r="G528" s="14">
        <f>10.1</f>
        <v>10.1</v>
      </c>
      <c r="H528" s="14" t="e">
        <f>NA()</f>
        <v>#N/A</v>
      </c>
      <c r="I528" s="86">
        <f>8.5</f>
        <v>8.5</v>
      </c>
      <c r="J528" s="87">
        <f>data비교작업!S531*100</f>
        <v>7.1428571428571379</v>
      </c>
      <c r="K528" s="85" t="e">
        <v>#N/A</v>
      </c>
    </row>
    <row r="529" spans="1:11" ht="18" customHeight="1" x14ac:dyDescent="0.25">
      <c r="A529" s="5">
        <v>28245</v>
      </c>
      <c r="B529" s="79" t="e">
        <f>NA()</f>
        <v>#N/A</v>
      </c>
      <c r="C529" s="80" t="e">
        <v>#N/A</v>
      </c>
      <c r="D529" s="14">
        <f>56.9</f>
        <v>56.9</v>
      </c>
      <c r="E529" s="14">
        <f>32.2</f>
        <v>32.200000000000003</v>
      </c>
      <c r="F529" s="14">
        <f>9</f>
        <v>9</v>
      </c>
      <c r="G529" s="14">
        <f>9.6</f>
        <v>9.6</v>
      </c>
      <c r="H529" s="14" t="e">
        <f>NA()</f>
        <v>#N/A</v>
      </c>
      <c r="I529" s="86">
        <f>8.5</f>
        <v>8.5</v>
      </c>
      <c r="J529" s="87">
        <f>data비교작업!S532*100</f>
        <v>8.4337349397590273</v>
      </c>
      <c r="K529" s="85" t="e">
        <v>#N/A</v>
      </c>
    </row>
    <row r="530" spans="1:11" ht="18" customHeight="1" x14ac:dyDescent="0.25">
      <c r="A530" s="5">
        <v>28215</v>
      </c>
      <c r="B530" s="79" t="e">
        <f>NA()</f>
        <v>#N/A</v>
      </c>
      <c r="C530" s="80" t="e">
        <v>#N/A</v>
      </c>
      <c r="D530" s="14">
        <f>58.4</f>
        <v>58.4</v>
      </c>
      <c r="E530" s="14">
        <f>39.8</f>
        <v>39.799999999999997</v>
      </c>
      <c r="F530" s="14">
        <f>9.2</f>
        <v>9.1999999999999993</v>
      </c>
      <c r="G530" s="14">
        <f>10.7</f>
        <v>10.7</v>
      </c>
      <c r="H530" s="14" t="e">
        <f>NA()</f>
        <v>#N/A</v>
      </c>
      <c r="I530" s="86">
        <f>8.6</f>
        <v>8.6</v>
      </c>
      <c r="J530" s="87">
        <f>data비교작업!S533*100</f>
        <v>8.5365853658536714</v>
      </c>
      <c r="K530" s="85" t="e">
        <v>#N/A</v>
      </c>
    </row>
    <row r="531" spans="1:11" ht="18" customHeight="1" x14ac:dyDescent="0.25">
      <c r="A531" s="5">
        <v>28184</v>
      </c>
      <c r="B531" s="79" t="e">
        <f>NA()</f>
        <v>#N/A</v>
      </c>
      <c r="C531" s="80" t="e">
        <v>#N/A</v>
      </c>
      <c r="D531" s="14">
        <f>55</f>
        <v>55</v>
      </c>
      <c r="E531" s="14">
        <f>44.3</f>
        <v>44.3</v>
      </c>
      <c r="F531" s="14">
        <f>9.3</f>
        <v>9.3000000000000007</v>
      </c>
      <c r="G531" s="14">
        <f>11.1</f>
        <v>11.1</v>
      </c>
      <c r="H531" s="14" t="e">
        <f>NA()</f>
        <v>#N/A</v>
      </c>
      <c r="I531" s="86">
        <f>9.5</f>
        <v>9.5</v>
      </c>
      <c r="J531" s="87">
        <f>data비교작업!S534*100</f>
        <v>9.8765432098765515</v>
      </c>
      <c r="K531" s="85" t="e">
        <v>#N/A</v>
      </c>
    </row>
    <row r="532" spans="1:11" ht="18" customHeight="1" x14ac:dyDescent="0.25">
      <c r="A532" s="5">
        <v>28156</v>
      </c>
      <c r="B532" s="79" t="e">
        <f>NA()</f>
        <v>#N/A</v>
      </c>
      <c r="C532" s="80" t="e">
        <v>#N/A</v>
      </c>
      <c r="D532" s="14">
        <f>54.8</f>
        <v>54.8</v>
      </c>
      <c r="E532" s="14">
        <f>50.1</f>
        <v>50.1</v>
      </c>
      <c r="F532" s="14">
        <f>7.5</f>
        <v>7.5</v>
      </c>
      <c r="G532" s="14">
        <f>9.7</f>
        <v>9.6999999999999993</v>
      </c>
      <c r="H532" s="14" t="e">
        <f>NA()</f>
        <v>#N/A</v>
      </c>
      <c r="I532" s="86">
        <f>10.1</f>
        <v>10.1</v>
      </c>
      <c r="J532" s="87">
        <f>data비교작업!S535*100</f>
        <v>10.000000000000009</v>
      </c>
      <c r="K532" s="85" t="e">
        <v>#N/A</v>
      </c>
    </row>
    <row r="533" spans="1:11" ht="18" customHeight="1" x14ac:dyDescent="0.25">
      <c r="A533" s="5">
        <v>28125</v>
      </c>
      <c r="B533" s="79" t="e">
        <f>NA()</f>
        <v>#N/A</v>
      </c>
      <c r="C533" s="80" t="e">
        <v>#N/A</v>
      </c>
      <c r="D533" s="14">
        <f>56.6</f>
        <v>56.6</v>
      </c>
      <c r="E533" s="14">
        <f>28.2</f>
        <v>28.2</v>
      </c>
      <c r="F533" s="14">
        <f>9.4</f>
        <v>9.4</v>
      </c>
      <c r="G533" s="14">
        <f>9.6</f>
        <v>9.6</v>
      </c>
      <c r="H533" s="14" t="e">
        <f>NA()</f>
        <v>#N/A</v>
      </c>
      <c r="I533" s="86">
        <f>10.5</f>
        <v>10.5</v>
      </c>
      <c r="J533" s="87">
        <f>data비교작업!S536*100</f>
        <v>12.820512820512834</v>
      </c>
      <c r="K533" s="85" t="e">
        <v>#N/A</v>
      </c>
    </row>
    <row r="534" spans="1:11" ht="18" customHeight="1" x14ac:dyDescent="0.25">
      <c r="A534" s="5">
        <v>28094</v>
      </c>
      <c r="B534" s="79" t="e">
        <f>NA()</f>
        <v>#N/A</v>
      </c>
      <c r="C534" s="80" t="e">
        <v>#N/A</v>
      </c>
      <c r="D534" s="14">
        <f>51.7</f>
        <v>51.7</v>
      </c>
      <c r="E534" s="14">
        <f>49.4</f>
        <v>49.4</v>
      </c>
      <c r="F534" s="14">
        <f>11</f>
        <v>11</v>
      </c>
      <c r="G534" s="14">
        <f>9.5</f>
        <v>9.5</v>
      </c>
      <c r="H534" s="14" t="e">
        <f>NA()</f>
        <v>#N/A</v>
      </c>
      <c r="I534" s="86">
        <f>10.6</f>
        <v>10.6</v>
      </c>
      <c r="J534" s="87">
        <f>data비교작업!S537*100</f>
        <v>11.538461538461533</v>
      </c>
      <c r="K534" s="85" t="e">
        <v>#N/A</v>
      </c>
    </row>
    <row r="535" spans="1:11" ht="18" customHeight="1" x14ac:dyDescent="0.25">
      <c r="A535" s="5">
        <v>28064</v>
      </c>
      <c r="B535" s="79" t="e">
        <f>NA()</f>
        <v>#N/A</v>
      </c>
      <c r="C535" s="80" t="e">
        <v>#N/A</v>
      </c>
      <c r="D535" s="14">
        <f>53.5</f>
        <v>53.5</v>
      </c>
      <c r="E535" s="14">
        <f>46.4</f>
        <v>46.4</v>
      </c>
      <c r="F535" s="14">
        <f>10.4</f>
        <v>10.4</v>
      </c>
      <c r="G535" s="14">
        <f>8.7</f>
        <v>8.6999999999999993</v>
      </c>
      <c r="H535" s="14" t="e">
        <f>NA()</f>
        <v>#N/A</v>
      </c>
      <c r="I535" s="86">
        <f>11.4</f>
        <v>11.4</v>
      </c>
      <c r="J535" s="87">
        <f>data비교작업!S538*100</f>
        <v>11.688311688311682</v>
      </c>
      <c r="K535" s="85" t="e">
        <v>#N/A</v>
      </c>
    </row>
    <row r="536" spans="1:11" ht="18" customHeight="1" x14ac:dyDescent="0.25">
      <c r="A536" s="5">
        <v>28033</v>
      </c>
      <c r="B536" s="79" t="e">
        <f>NA()</f>
        <v>#N/A</v>
      </c>
      <c r="C536" s="80" t="e">
        <v>#N/A</v>
      </c>
      <c r="D536" s="14">
        <f>53.6</f>
        <v>53.6</v>
      </c>
      <c r="E536" s="14">
        <f>49.3</f>
        <v>49.3</v>
      </c>
      <c r="F536" s="14">
        <f>11.3</f>
        <v>11.3</v>
      </c>
      <c r="G536" s="14">
        <f>11.5</f>
        <v>11.5</v>
      </c>
      <c r="H536" s="14" t="e">
        <f>NA()</f>
        <v>#N/A</v>
      </c>
      <c r="I536" s="86">
        <f>12.3</f>
        <v>12.3</v>
      </c>
      <c r="J536" s="87">
        <f>data비교작업!S539*100</f>
        <v>14.666666666666661</v>
      </c>
      <c r="K536" s="85" t="e">
        <v>#N/A</v>
      </c>
    </row>
    <row r="537" spans="1:11" ht="18" customHeight="1" x14ac:dyDescent="0.25">
      <c r="A537" s="5">
        <v>28003</v>
      </c>
      <c r="B537" s="79" t="e">
        <f>NA()</f>
        <v>#N/A</v>
      </c>
      <c r="C537" s="80" t="e">
        <v>#N/A</v>
      </c>
      <c r="D537" s="14">
        <f>54.5</f>
        <v>54.5</v>
      </c>
      <c r="E537" s="14">
        <f>53.5</f>
        <v>53.5</v>
      </c>
      <c r="F537" s="14">
        <f>11.2</f>
        <v>11.2</v>
      </c>
      <c r="G537" s="14">
        <f>14.5</f>
        <v>14.5</v>
      </c>
      <c r="H537" s="14" t="e">
        <f>NA()</f>
        <v>#N/A</v>
      </c>
      <c r="I537" s="86">
        <f>13.6</f>
        <v>13.6</v>
      </c>
      <c r="J537" s="87">
        <f>data비교작업!S540*100</f>
        <v>13.333333333333334</v>
      </c>
      <c r="K537" s="85" t="e">
        <v>#N/A</v>
      </c>
    </row>
    <row r="538" spans="1:11" ht="18" customHeight="1" x14ac:dyDescent="0.25">
      <c r="A538" s="5">
        <v>27972</v>
      </c>
      <c r="B538" s="79" t="e">
        <f>NA()</f>
        <v>#N/A</v>
      </c>
      <c r="C538" s="80" t="e">
        <v>#N/A</v>
      </c>
      <c r="D538" s="14">
        <f>55.9</f>
        <v>55.9</v>
      </c>
      <c r="E538" s="14">
        <f>73.2</f>
        <v>73.2</v>
      </c>
      <c r="F538" s="14">
        <f>11.1</f>
        <v>11.1</v>
      </c>
      <c r="G538" s="14">
        <f>15.8</f>
        <v>15.8</v>
      </c>
      <c r="H538" s="14" t="e">
        <f>NA()</f>
        <v>#N/A</v>
      </c>
      <c r="I538" s="86">
        <f>14.2</f>
        <v>14.2</v>
      </c>
      <c r="J538" s="87">
        <f>data비교작업!S541*100</f>
        <v>14.86486486486486</v>
      </c>
      <c r="K538" s="85" t="e">
        <v>#N/A</v>
      </c>
    </row>
    <row r="539" spans="1:11" ht="18" customHeight="1" x14ac:dyDescent="0.25">
      <c r="A539" s="5">
        <v>27941</v>
      </c>
      <c r="B539" s="79" t="e">
        <f>NA()</f>
        <v>#N/A</v>
      </c>
      <c r="C539" s="80" t="e">
        <v>#N/A</v>
      </c>
      <c r="D539" s="14">
        <f>58.2</f>
        <v>58.2</v>
      </c>
      <c r="E539" s="14">
        <f>74.8</f>
        <v>74.8</v>
      </c>
      <c r="F539" s="14">
        <f>10.9</f>
        <v>10.9</v>
      </c>
      <c r="G539" s="14">
        <f>15.7</f>
        <v>15.7</v>
      </c>
      <c r="H539" s="14" t="e">
        <f>NA()</f>
        <v>#N/A</v>
      </c>
      <c r="I539" s="86">
        <f>15.1</f>
        <v>15.1</v>
      </c>
      <c r="J539" s="87">
        <f>data비교작업!S542*100</f>
        <v>15.068493150684938</v>
      </c>
      <c r="K539" s="85" t="e">
        <v>#N/A</v>
      </c>
    </row>
    <row r="540" spans="1:11" ht="18" customHeight="1" x14ac:dyDescent="0.25">
      <c r="A540" s="5">
        <v>27911</v>
      </c>
      <c r="B540" s="79" t="e">
        <f>NA()</f>
        <v>#N/A</v>
      </c>
      <c r="C540" s="80" t="e">
        <v>#N/A</v>
      </c>
      <c r="D540" s="14">
        <f>58.8</f>
        <v>58.8</v>
      </c>
      <c r="E540" s="14">
        <f>61.2</f>
        <v>61.2</v>
      </c>
      <c r="F540" s="14">
        <f>11.4</f>
        <v>11.4</v>
      </c>
      <c r="G540" s="14">
        <f>16.1</f>
        <v>16.100000000000001</v>
      </c>
      <c r="H540" s="14" t="e">
        <f>NA()</f>
        <v>#N/A</v>
      </c>
      <c r="I540" s="86">
        <f>16.2</f>
        <v>16.2</v>
      </c>
      <c r="J540" s="87">
        <f>data비교작업!S543*100</f>
        <v>16.666666666666668</v>
      </c>
      <c r="K540" s="85" t="e">
        <v>#N/A</v>
      </c>
    </row>
    <row r="541" spans="1:11" ht="18" customHeight="1" x14ac:dyDescent="0.25">
      <c r="A541" s="5">
        <v>27880</v>
      </c>
      <c r="B541" s="79" t="e">
        <f>NA()</f>
        <v>#N/A</v>
      </c>
      <c r="C541" s="80" t="e">
        <v>#N/A</v>
      </c>
      <c r="D541" s="14">
        <f>60.6</f>
        <v>60.6</v>
      </c>
      <c r="E541" s="14">
        <f>81.1</f>
        <v>81.099999999999994</v>
      </c>
      <c r="F541" s="14">
        <f>13</f>
        <v>13</v>
      </c>
      <c r="G541" s="14">
        <f>19.5</f>
        <v>19.5</v>
      </c>
      <c r="H541" s="14" t="e">
        <f>NA()</f>
        <v>#N/A</v>
      </c>
      <c r="I541" s="86">
        <f>16.8</f>
        <v>16.8</v>
      </c>
      <c r="J541" s="87">
        <f>data비교작업!S544*100</f>
        <v>18.57142857142858</v>
      </c>
      <c r="K541" s="85" t="e">
        <v>#N/A</v>
      </c>
    </row>
    <row r="542" spans="1:11" ht="18" customHeight="1" x14ac:dyDescent="0.25">
      <c r="A542" s="5">
        <v>27850</v>
      </c>
      <c r="B542" s="79" t="e">
        <f>NA()</f>
        <v>#N/A</v>
      </c>
      <c r="C542" s="80" t="e">
        <v>#N/A</v>
      </c>
      <c r="D542" s="14">
        <f>58.4</f>
        <v>58.4</v>
      </c>
      <c r="E542" s="14">
        <f>66.3</f>
        <v>66.3</v>
      </c>
      <c r="F542" s="14">
        <f>15.3</f>
        <v>15.3</v>
      </c>
      <c r="G542" s="14">
        <f>22</f>
        <v>22</v>
      </c>
      <c r="H542" s="14" t="e">
        <f>NA()</f>
        <v>#N/A</v>
      </c>
      <c r="I542" s="86">
        <f>16.7</f>
        <v>16.7</v>
      </c>
      <c r="J542" s="87">
        <f>data비교작업!S545*100</f>
        <v>18.840579710144912</v>
      </c>
      <c r="K542" s="85" t="e">
        <v>#N/A</v>
      </c>
    </row>
    <row r="543" spans="1:11" ht="18" customHeight="1" x14ac:dyDescent="0.25">
      <c r="A543" s="5">
        <v>27819</v>
      </c>
      <c r="B543" s="79" t="e">
        <f>NA()</f>
        <v>#N/A</v>
      </c>
      <c r="C543" s="80" t="e">
        <v>#N/A</v>
      </c>
      <c r="D543" s="14">
        <f>61.5</f>
        <v>61.5</v>
      </c>
      <c r="E543" s="14">
        <f>50.8</f>
        <v>50.8</v>
      </c>
      <c r="F543" s="14">
        <f>15.2</f>
        <v>15.2</v>
      </c>
      <c r="G543" s="14">
        <f>22.2</f>
        <v>22.2</v>
      </c>
      <c r="H543" s="14" t="e">
        <f>NA()</f>
        <v>#N/A</v>
      </c>
      <c r="I543" s="86">
        <f>16.3</f>
        <v>16.3</v>
      </c>
      <c r="J543" s="87">
        <f>data비교작업!S546*100</f>
        <v>19.117647058823529</v>
      </c>
      <c r="K543" s="85" t="e">
        <v>#N/A</v>
      </c>
    </row>
    <row r="544" spans="1:11" ht="18" customHeight="1" x14ac:dyDescent="0.25">
      <c r="A544" s="5">
        <v>27790</v>
      </c>
      <c r="B544" s="79" t="e">
        <f>NA()</f>
        <v>#N/A</v>
      </c>
      <c r="C544" s="80" t="e">
        <v>#N/A</v>
      </c>
      <c r="D544" s="14">
        <f>58.8</f>
        <v>58.8</v>
      </c>
      <c r="E544" s="14">
        <f>65.1</f>
        <v>65.099999999999994</v>
      </c>
      <c r="F544" s="14">
        <f>16.1</f>
        <v>16.100000000000001</v>
      </c>
      <c r="G544" s="14">
        <f>23</f>
        <v>23</v>
      </c>
      <c r="H544" s="14" t="e">
        <f>NA()</f>
        <v>#N/A</v>
      </c>
      <c r="I544" s="86">
        <f>16.1</f>
        <v>16.100000000000001</v>
      </c>
      <c r="J544" s="87">
        <f>data비교작업!S547*100</f>
        <v>19.402985074626862</v>
      </c>
      <c r="K544" s="85" t="e">
        <v>#N/A</v>
      </c>
    </row>
    <row r="545" spans="1:11" ht="18" customHeight="1" x14ac:dyDescent="0.25">
      <c r="A545" s="5">
        <v>27759</v>
      </c>
      <c r="B545" s="79" t="e">
        <f>NA()</f>
        <v>#N/A</v>
      </c>
      <c r="C545" s="80" t="e">
        <v>#N/A</v>
      </c>
      <c r="D545" s="14">
        <f>54.9</f>
        <v>54.9</v>
      </c>
      <c r="E545" s="14">
        <f>72</f>
        <v>72</v>
      </c>
      <c r="F545" s="14">
        <f>19.5</f>
        <v>19.5</v>
      </c>
      <c r="G545" s="14">
        <f>26.5</f>
        <v>26.5</v>
      </c>
      <c r="H545" s="14" t="e">
        <f>NA()</f>
        <v>#N/A</v>
      </c>
      <c r="I545" s="86">
        <f>15.8</f>
        <v>15.8</v>
      </c>
      <c r="J545" s="87">
        <f>data비교작업!S548*100</f>
        <v>16.417910447761187</v>
      </c>
      <c r="K545" s="85" t="e">
        <v>#N/A</v>
      </c>
    </row>
    <row r="546" spans="1:11" ht="18" customHeight="1" x14ac:dyDescent="0.25">
      <c r="A546" s="5">
        <v>27728</v>
      </c>
      <c r="B546" s="79" t="e">
        <f>NA()</f>
        <v>#N/A</v>
      </c>
      <c r="C546" s="80" t="e">
        <v>#N/A</v>
      </c>
      <c r="D546" s="14">
        <f>54.5</f>
        <v>54.5</v>
      </c>
      <c r="E546" s="14">
        <f>34.9</f>
        <v>34.9</v>
      </c>
      <c r="F546" s="14">
        <f>24.3</f>
        <v>24.3</v>
      </c>
      <c r="G546" s="14">
        <f>27.8</f>
        <v>27.8</v>
      </c>
      <c r="H546" s="14" t="e">
        <f>NA()</f>
        <v>#N/A</v>
      </c>
      <c r="I546" s="86">
        <f>15.6</f>
        <v>15.6</v>
      </c>
      <c r="J546" s="87">
        <f>data비교작업!S549*100</f>
        <v>18.181818181818183</v>
      </c>
      <c r="K546" s="85" t="e">
        <v>#N/A</v>
      </c>
    </row>
    <row r="547" spans="1:11" ht="18" customHeight="1" x14ac:dyDescent="0.25">
      <c r="A547" s="5">
        <v>27698</v>
      </c>
      <c r="B547" s="79" t="e">
        <f>NA()</f>
        <v>#N/A</v>
      </c>
      <c r="C547" s="80" t="e">
        <v>#N/A</v>
      </c>
      <c r="D547" s="14">
        <f>55.5</f>
        <v>55.5</v>
      </c>
      <c r="E547" s="14">
        <f>47.5</f>
        <v>47.5</v>
      </c>
      <c r="F547" s="14">
        <f>26.6</f>
        <v>26.6</v>
      </c>
      <c r="G547" s="14">
        <f>30.5</f>
        <v>30.5</v>
      </c>
      <c r="H547" s="14" t="e">
        <f>NA()</f>
        <v>#N/A</v>
      </c>
      <c r="I547" s="86">
        <f>15.3</f>
        <v>15.3</v>
      </c>
      <c r="J547" s="87">
        <f>data비교작업!S550*100</f>
        <v>18.461538461538467</v>
      </c>
      <c r="K547" s="85" t="e">
        <v>#N/A</v>
      </c>
    </row>
    <row r="548" spans="1:11" ht="18" customHeight="1" x14ac:dyDescent="0.25">
      <c r="A548" s="5">
        <v>27667</v>
      </c>
      <c r="B548" s="79" t="e">
        <f>NA()</f>
        <v>#N/A</v>
      </c>
      <c r="C548" s="80" t="e">
        <v>#N/A</v>
      </c>
      <c r="D548" s="14">
        <f>54.4</f>
        <v>54.4</v>
      </c>
      <c r="E548" s="14">
        <f>10.8</f>
        <v>10.8</v>
      </c>
      <c r="F548" s="14">
        <f>25.5</f>
        <v>25.5</v>
      </c>
      <c r="G548" s="14">
        <f>27.5</f>
        <v>27.5</v>
      </c>
      <c r="H548" s="14" t="e">
        <f>NA()</f>
        <v>#N/A</v>
      </c>
      <c r="I548" s="86">
        <f>14</f>
        <v>14</v>
      </c>
      <c r="J548" s="87">
        <f>data비교작업!S551*100</f>
        <v>15.384615384615385</v>
      </c>
      <c r="K548" s="85" t="e">
        <v>#N/A</v>
      </c>
    </row>
    <row r="549" spans="1:11" ht="18" customHeight="1" x14ac:dyDescent="0.25">
      <c r="A549" s="5">
        <v>27637</v>
      </c>
      <c r="B549" s="79" t="e">
        <f>NA()</f>
        <v>#N/A</v>
      </c>
      <c r="C549" s="80" t="e">
        <v>#N/A</v>
      </c>
      <c r="D549" s="14">
        <f>51.4</f>
        <v>51.4</v>
      </c>
      <c r="E549" s="14">
        <f>25.1</f>
        <v>25.1</v>
      </c>
      <c r="F549" s="14">
        <f>24.4</f>
        <v>24.4</v>
      </c>
      <c r="G549" s="14">
        <f>25.3</f>
        <v>25.3</v>
      </c>
      <c r="H549" s="14" t="e">
        <f>NA()</f>
        <v>#N/A</v>
      </c>
      <c r="I549" s="86">
        <f>13.5</f>
        <v>13.5</v>
      </c>
      <c r="J549" s="87">
        <f>data비교작업!S552*100</f>
        <v>15.384615384615385</v>
      </c>
      <c r="K549" s="85" t="e">
        <v>#N/A</v>
      </c>
    </row>
    <row r="550" spans="1:11" ht="18" customHeight="1" x14ac:dyDescent="0.25">
      <c r="A550" s="5">
        <v>27606</v>
      </c>
      <c r="B550" s="79" t="e">
        <f>NA()</f>
        <v>#N/A</v>
      </c>
      <c r="C550" s="80" t="e">
        <v>#N/A</v>
      </c>
      <c r="D550" s="14">
        <f>47.2</f>
        <v>47.2</v>
      </c>
      <c r="E550" s="14">
        <f>4.4</f>
        <v>4.4000000000000004</v>
      </c>
      <c r="F550" s="14">
        <f>25.1</f>
        <v>25.1</v>
      </c>
      <c r="G550" s="14">
        <f>26.5</f>
        <v>26.5</v>
      </c>
      <c r="H550" s="14" t="e">
        <f>NA()</f>
        <v>#N/A</v>
      </c>
      <c r="I550" s="86">
        <f>12.8</f>
        <v>12.8</v>
      </c>
      <c r="J550" s="87">
        <f>data비교작업!S553*100</f>
        <v>13.846153846153852</v>
      </c>
      <c r="K550" s="85" t="e">
        <v>#N/A</v>
      </c>
    </row>
    <row r="551" spans="1:11" ht="18" customHeight="1" x14ac:dyDescent="0.25">
      <c r="A551" s="5">
        <v>27575</v>
      </c>
      <c r="B551" s="79" t="e">
        <f>NA()</f>
        <v>#N/A</v>
      </c>
      <c r="C551" s="80" t="e">
        <v>#N/A</v>
      </c>
      <c r="D551" s="14">
        <f>45.1</f>
        <v>45.1</v>
      </c>
      <c r="E551" s="14">
        <f>-4</f>
        <v>-4</v>
      </c>
      <c r="F551" s="14">
        <f>26</f>
        <v>26</v>
      </c>
      <c r="G551" s="14">
        <f>26.9</f>
        <v>26.9</v>
      </c>
      <c r="H551" s="14" t="e">
        <f>NA()</f>
        <v>#N/A</v>
      </c>
      <c r="I551" s="86">
        <f>11</f>
        <v>11</v>
      </c>
      <c r="J551" s="87">
        <f>data비교작업!S554*100</f>
        <v>12.307692307692305</v>
      </c>
      <c r="K551" s="85" t="e">
        <v>#N/A</v>
      </c>
    </row>
    <row r="552" spans="1:11" ht="18" customHeight="1" x14ac:dyDescent="0.25">
      <c r="A552" s="5">
        <v>27545</v>
      </c>
      <c r="B552" s="79" t="e">
        <f>NA()</f>
        <v>#N/A</v>
      </c>
      <c r="C552" s="80" t="e">
        <v>#N/A</v>
      </c>
      <c r="D552" s="14">
        <f>41.2</f>
        <v>41.2</v>
      </c>
      <c r="E552" s="14">
        <f>-4.1</f>
        <v>-4.0999999999999996</v>
      </c>
      <c r="F552" s="14">
        <f>26.1</f>
        <v>26.1</v>
      </c>
      <c r="G552" s="14">
        <f>24.3</f>
        <v>24.3</v>
      </c>
      <c r="H552" s="14" t="e">
        <f>NA()</f>
        <v>#N/A</v>
      </c>
      <c r="I552" s="86">
        <f>9.1</f>
        <v>9.1</v>
      </c>
      <c r="J552" s="87">
        <f>data비교작업!S555*100</f>
        <v>10.769230769230772</v>
      </c>
      <c r="K552" s="85" t="e">
        <v>#N/A</v>
      </c>
    </row>
    <row r="553" spans="1:11" ht="18" customHeight="1" x14ac:dyDescent="0.25">
      <c r="A553" s="5">
        <v>27514</v>
      </c>
      <c r="B553" s="79" t="e">
        <f>NA()</f>
        <v>#N/A</v>
      </c>
      <c r="C553" s="80" t="e">
        <v>#N/A</v>
      </c>
      <c r="D553" s="14">
        <f>37.5</f>
        <v>37.5</v>
      </c>
      <c r="E553" s="14">
        <f>-14.1</f>
        <v>-14.1</v>
      </c>
      <c r="F553" s="14">
        <f>24.1</f>
        <v>24.1</v>
      </c>
      <c r="G553" s="14">
        <f>20.6</f>
        <v>20.6</v>
      </c>
      <c r="H553" s="14" t="e">
        <f>NA()</f>
        <v>#N/A</v>
      </c>
      <c r="I553" s="86">
        <f>6.4</f>
        <v>6.4</v>
      </c>
      <c r="J553" s="87">
        <f>data비교작업!S556*100</f>
        <v>7.6923076923076925</v>
      </c>
      <c r="K553" s="85" t="e">
        <v>#N/A</v>
      </c>
    </row>
    <row r="554" spans="1:11" ht="18" customHeight="1" x14ac:dyDescent="0.25">
      <c r="A554" s="5">
        <v>27484</v>
      </c>
      <c r="B554" s="79" t="e">
        <f>NA()</f>
        <v>#N/A</v>
      </c>
      <c r="C554" s="80" t="e">
        <v>#N/A</v>
      </c>
      <c r="D554" s="14">
        <f>31.6</f>
        <v>31.6</v>
      </c>
      <c r="E554" s="14">
        <f>-15.5</f>
        <v>-15.5</v>
      </c>
      <c r="F554" s="14">
        <f>25.9</f>
        <v>25.9</v>
      </c>
      <c r="G554" s="14">
        <f>19.1</f>
        <v>19.100000000000001</v>
      </c>
      <c r="H554" s="14" t="e">
        <f>NA()</f>
        <v>#N/A</v>
      </c>
      <c r="I554" s="86">
        <f>4</f>
        <v>4</v>
      </c>
      <c r="J554" s="87">
        <f>data비교작업!S557*100</f>
        <v>4.5454545454545565</v>
      </c>
      <c r="K554" s="85" t="e">
        <v>#N/A</v>
      </c>
    </row>
    <row r="555" spans="1:11" ht="18" customHeight="1" x14ac:dyDescent="0.25">
      <c r="A555" s="5">
        <v>27453</v>
      </c>
      <c r="B555" s="79" t="e">
        <f>NA()</f>
        <v>#N/A</v>
      </c>
      <c r="C555" s="80" t="e">
        <v>#N/A</v>
      </c>
      <c r="D555" s="14">
        <f>34.4</f>
        <v>34.4</v>
      </c>
      <c r="E555" s="14">
        <f>-4.3</f>
        <v>-4.3</v>
      </c>
      <c r="F555" s="14">
        <f>29.1</f>
        <v>29.1</v>
      </c>
      <c r="G555" s="14">
        <f>21.3</f>
        <v>21.3</v>
      </c>
      <c r="H555" s="14" t="e">
        <f>NA()</f>
        <v>#N/A</v>
      </c>
      <c r="I555" s="86">
        <f>2.9</f>
        <v>2.9</v>
      </c>
      <c r="J555" s="87">
        <f>data비교작업!S558*100</f>
        <v>1.4925373134328304</v>
      </c>
      <c r="K555" s="85" t="e">
        <v>#N/A</v>
      </c>
    </row>
    <row r="556" spans="1:11" ht="18" customHeight="1" x14ac:dyDescent="0.25">
      <c r="A556" s="5">
        <v>27425</v>
      </c>
      <c r="B556" s="79" t="e">
        <f>NA()</f>
        <v>#N/A</v>
      </c>
      <c r="C556" s="80" t="e">
        <v>#N/A</v>
      </c>
      <c r="D556" s="14">
        <f>30.7</f>
        <v>30.7</v>
      </c>
      <c r="E556" s="14">
        <f>-15</f>
        <v>-15</v>
      </c>
      <c r="F556" s="14">
        <f>46</f>
        <v>46</v>
      </c>
      <c r="G556" s="14">
        <f>25.4</f>
        <v>25.4</v>
      </c>
      <c r="H556" s="14" t="e">
        <f>NA()</f>
        <v>#N/A</v>
      </c>
      <c r="I556" s="86">
        <f>1.4</f>
        <v>1.4</v>
      </c>
      <c r="J556" s="87">
        <f>data비교작업!S559*100</f>
        <v>0</v>
      </c>
      <c r="K556" s="85" t="e">
        <v>#N/A</v>
      </c>
    </row>
    <row r="557" spans="1:11" ht="18" customHeight="1" x14ac:dyDescent="0.25">
      <c r="A557" s="5">
        <v>27394</v>
      </c>
      <c r="B557" s="79" t="e">
        <f>NA()</f>
        <v>#N/A</v>
      </c>
      <c r="C557" s="80" t="e">
        <v>#N/A</v>
      </c>
      <c r="D557" s="14">
        <f>30.9</f>
        <v>30.9</v>
      </c>
      <c r="E557" s="14">
        <f>-7.5</f>
        <v>-7.5</v>
      </c>
      <c r="F557" s="14">
        <f>44.6</f>
        <v>44.6</v>
      </c>
      <c r="G557" s="14">
        <f>26.4</f>
        <v>26.4</v>
      </c>
      <c r="H557" s="14" t="e">
        <f>NA()</f>
        <v>#N/A</v>
      </c>
      <c r="I557" s="86">
        <f>1.5</f>
        <v>1.5</v>
      </c>
      <c r="J557" s="87">
        <f>data비교작업!S560*100</f>
        <v>0</v>
      </c>
      <c r="K557" s="85" t="e">
        <v>#N/A</v>
      </c>
    </row>
    <row r="558" spans="1:11" ht="18" customHeight="1" x14ac:dyDescent="0.25">
      <c r="A558" s="5">
        <v>27363</v>
      </c>
      <c r="B558" s="79" t="e">
        <f>NA()</f>
        <v>#N/A</v>
      </c>
      <c r="C558" s="80" t="e">
        <v>#N/A</v>
      </c>
      <c r="D558" s="14">
        <f>37.9</f>
        <v>37.9</v>
      </c>
      <c r="E558" s="14">
        <f>-2.6</f>
        <v>-2.6</v>
      </c>
      <c r="F558" s="14">
        <f>44.4</f>
        <v>44.4</v>
      </c>
      <c r="G558" s="14">
        <f>28</f>
        <v>28</v>
      </c>
      <c r="H558" s="14" t="e">
        <f>NA()</f>
        <v>#N/A</v>
      </c>
      <c r="I558" s="86">
        <f>-0.5</f>
        <v>-0.5</v>
      </c>
      <c r="J558" s="87">
        <f>data비교작업!S561*100</f>
        <v>-1.4925373134328437</v>
      </c>
      <c r="K558" s="85" t="e">
        <v>#N/A</v>
      </c>
    </row>
    <row r="559" spans="1:11" ht="18" customHeight="1" x14ac:dyDescent="0.25">
      <c r="A559" s="5">
        <v>27333</v>
      </c>
      <c r="B559" s="79" t="e">
        <f>NA()</f>
        <v>#N/A</v>
      </c>
      <c r="C559" s="80" t="e">
        <v>#N/A</v>
      </c>
      <c r="D559" s="14">
        <f>42.7</f>
        <v>42.7</v>
      </c>
      <c r="E559" s="14">
        <f>-6.1</f>
        <v>-6.1</v>
      </c>
      <c r="F559" s="14">
        <f>43</f>
        <v>43</v>
      </c>
      <c r="G559" s="14">
        <f>27.8</f>
        <v>27.8</v>
      </c>
      <c r="H559" s="14" t="e">
        <f>NA()</f>
        <v>#N/A</v>
      </c>
      <c r="I559" s="86">
        <f>-1.6</f>
        <v>-1.6</v>
      </c>
      <c r="J559" s="87">
        <f>data비교작업!S562*100</f>
        <v>-2.9850746268656745</v>
      </c>
      <c r="K559" s="85" t="e">
        <v>#N/A</v>
      </c>
    </row>
    <row r="560" spans="1:11" ht="18" customHeight="1" x14ac:dyDescent="0.25">
      <c r="A560" s="5">
        <v>27302</v>
      </c>
      <c r="B560" s="79" t="e">
        <f>NA()</f>
        <v>#N/A</v>
      </c>
      <c r="C560" s="80" t="e">
        <v>#N/A</v>
      </c>
      <c r="D560" s="14">
        <f>46.2</f>
        <v>46.2</v>
      </c>
      <c r="E560" s="14">
        <f>26.7</f>
        <v>26.7</v>
      </c>
      <c r="F560" s="14">
        <f>42.8</f>
        <v>42.8</v>
      </c>
      <c r="G560" s="14">
        <f>29.2</f>
        <v>29.2</v>
      </c>
      <c r="H560" s="14" t="e">
        <f>NA()</f>
        <v>#N/A</v>
      </c>
      <c r="I560" s="86">
        <f>-1.7</f>
        <v>-1.7</v>
      </c>
      <c r="J560" s="87">
        <f>data비교작업!S563*100</f>
        <v>-2.9850746268656745</v>
      </c>
      <c r="K560" s="85" t="e">
        <v>#N/A</v>
      </c>
    </row>
    <row r="561" spans="1:11" ht="18" customHeight="1" x14ac:dyDescent="0.25">
      <c r="A561" s="5">
        <v>27272</v>
      </c>
      <c r="B561" s="79" t="e">
        <f>NA()</f>
        <v>#N/A</v>
      </c>
      <c r="C561" s="80" t="e">
        <v>#N/A</v>
      </c>
      <c r="D561" s="14">
        <f>52.9</f>
        <v>52.9</v>
      </c>
      <c r="E561" s="14">
        <f>20.5</f>
        <v>20.5</v>
      </c>
      <c r="F561" s="14">
        <f>45.6</f>
        <v>45.6</v>
      </c>
      <c r="G561" s="14">
        <f>28.2</f>
        <v>28.2</v>
      </c>
      <c r="H561" s="14" t="e">
        <f>NA()</f>
        <v>#N/A</v>
      </c>
      <c r="I561" s="86">
        <f>-1.7</f>
        <v>-1.7</v>
      </c>
      <c r="J561" s="87">
        <f>data비교작업!S564*100</f>
        <v>-2.9850746268656745</v>
      </c>
      <c r="K561" s="85" t="e">
        <v>#N/A</v>
      </c>
    </row>
    <row r="562" spans="1:11" ht="18" customHeight="1" x14ac:dyDescent="0.25">
      <c r="A562" s="5">
        <v>27241</v>
      </c>
      <c r="B562" s="79" t="e">
        <f>NA()</f>
        <v>#N/A</v>
      </c>
      <c r="C562" s="80" t="e">
        <v>#N/A</v>
      </c>
      <c r="D562" s="14">
        <f>54.8</f>
        <v>54.8</v>
      </c>
      <c r="E562" s="14">
        <f>62.6</f>
        <v>62.6</v>
      </c>
      <c r="F562" s="14">
        <f>47.4</f>
        <v>47.4</v>
      </c>
      <c r="G562" s="14">
        <f>25.5</f>
        <v>25.5</v>
      </c>
      <c r="H562" s="14" t="e">
        <f>NA()</f>
        <v>#N/A</v>
      </c>
      <c r="I562" s="86">
        <f>-0.7</f>
        <v>-0.7</v>
      </c>
      <c r="J562" s="87">
        <f>data비교작업!S565*100</f>
        <v>-1.5151515151515098</v>
      </c>
      <c r="K562" s="85" t="e">
        <v>#N/A</v>
      </c>
    </row>
    <row r="563" spans="1:11" ht="18" customHeight="1" x14ac:dyDescent="0.25">
      <c r="A563" s="5">
        <v>27210</v>
      </c>
      <c r="B563" s="79" t="e">
        <f>NA()</f>
        <v>#N/A</v>
      </c>
      <c r="C563" s="80" t="e">
        <v>#N/A</v>
      </c>
      <c r="D563" s="14">
        <f>54.7</f>
        <v>54.7</v>
      </c>
      <c r="E563" s="14">
        <f>79</f>
        <v>79</v>
      </c>
      <c r="F563" s="14">
        <f>46.9</f>
        <v>46.9</v>
      </c>
      <c r="G563" s="14">
        <f>23.5</f>
        <v>23.5</v>
      </c>
      <c r="H563" s="14" t="e">
        <f>NA()</f>
        <v>#N/A</v>
      </c>
      <c r="I563" s="86">
        <f>-0.1</f>
        <v>-0.1</v>
      </c>
      <c r="J563" s="87">
        <f>data비교작업!S566*100</f>
        <v>0</v>
      </c>
      <c r="K563" s="85" t="e">
        <v>#N/A</v>
      </c>
    </row>
    <row r="564" spans="1:11" ht="18" customHeight="1" x14ac:dyDescent="0.25">
      <c r="A564" s="5">
        <v>27180</v>
      </c>
      <c r="B564" s="79" t="e">
        <f>NA()</f>
        <v>#N/A</v>
      </c>
      <c r="C564" s="80" t="e">
        <v>#N/A</v>
      </c>
      <c r="D564" s="14">
        <f>55.7</f>
        <v>55.7</v>
      </c>
      <c r="E564" s="14">
        <f>61.2</f>
        <v>61.2</v>
      </c>
      <c r="F564" s="14">
        <f>45.6</f>
        <v>45.6</v>
      </c>
      <c r="G564" s="14">
        <f>24.1</f>
        <v>24.1</v>
      </c>
      <c r="H564" s="14" t="e">
        <f>NA()</f>
        <v>#N/A</v>
      </c>
      <c r="I564" s="86">
        <f>1.2</f>
        <v>1.2</v>
      </c>
      <c r="J564" s="87">
        <f>data비교작업!S567*100</f>
        <v>0</v>
      </c>
      <c r="K564" s="85" t="e">
        <v>#N/A</v>
      </c>
    </row>
    <row r="565" spans="1:11" ht="18" customHeight="1" x14ac:dyDescent="0.25">
      <c r="A565" s="5">
        <v>27149</v>
      </c>
      <c r="B565" s="79" t="e">
        <f>NA()</f>
        <v>#N/A</v>
      </c>
      <c r="C565" s="80" t="e">
        <v>#N/A</v>
      </c>
      <c r="D565" s="14">
        <f>59.9</f>
        <v>59.9</v>
      </c>
      <c r="E565" s="14">
        <f>79.1</f>
        <v>79.099999999999994</v>
      </c>
      <c r="F565" s="14">
        <f>45.7</f>
        <v>45.7</v>
      </c>
      <c r="G565" s="14">
        <f>24.2</f>
        <v>24.2</v>
      </c>
      <c r="H565" s="14" t="e">
        <f>NA()</f>
        <v>#N/A</v>
      </c>
      <c r="I565" s="86">
        <f>3</f>
        <v>3</v>
      </c>
      <c r="J565" s="87">
        <f>data비교작업!S568*100</f>
        <v>1.5624999999999944</v>
      </c>
      <c r="K565" s="85" t="e">
        <v>#N/A</v>
      </c>
    </row>
    <row r="566" spans="1:11" ht="18" customHeight="1" x14ac:dyDescent="0.25">
      <c r="A566" s="5">
        <v>27119</v>
      </c>
      <c r="B566" s="79" t="e">
        <f>NA()</f>
        <v>#N/A</v>
      </c>
      <c r="C566" s="80" t="e">
        <v>#N/A</v>
      </c>
      <c r="D566" s="14">
        <f>61.8</f>
        <v>61.8</v>
      </c>
      <c r="E566" s="14">
        <f>72.6</f>
        <v>72.599999999999994</v>
      </c>
      <c r="F566" s="14">
        <f>40.7</f>
        <v>40.700000000000003</v>
      </c>
      <c r="G566" s="14">
        <f>22.6</f>
        <v>22.6</v>
      </c>
      <c r="H566" s="14" t="e">
        <f>NA()</f>
        <v>#N/A</v>
      </c>
      <c r="I566" s="86">
        <f>5.6</f>
        <v>5.6</v>
      </c>
      <c r="J566" s="87">
        <f>data비교작업!S569*100</f>
        <v>4.7619047619047592</v>
      </c>
      <c r="K566" s="85" t="e">
        <v>#N/A</v>
      </c>
    </row>
    <row r="567" spans="1:11" ht="18" customHeight="1" x14ac:dyDescent="0.25">
      <c r="A567" s="5">
        <v>27088</v>
      </c>
      <c r="B567" s="79" t="e">
        <f>NA()</f>
        <v>#N/A</v>
      </c>
      <c r="C567" s="80" t="e">
        <v>#N/A</v>
      </c>
      <c r="D567" s="14">
        <f>58.6</f>
        <v>58.6</v>
      </c>
      <c r="E567" s="14">
        <f>90.8</f>
        <v>90.8</v>
      </c>
      <c r="F567" s="14">
        <f>37</f>
        <v>37</v>
      </c>
      <c r="G567" s="14">
        <f>18.4</f>
        <v>18.399999999999999</v>
      </c>
      <c r="H567" s="14" t="e">
        <f>NA()</f>
        <v>#N/A</v>
      </c>
      <c r="I567" s="86">
        <f>8.1</f>
        <v>8.1</v>
      </c>
      <c r="J567" s="87">
        <f>data비교작업!S570*100</f>
        <v>8.064516129032258</v>
      </c>
      <c r="K567" s="85" t="e">
        <v>#N/A</v>
      </c>
    </row>
    <row r="568" spans="1:11" ht="18" customHeight="1" x14ac:dyDescent="0.25">
      <c r="A568" s="5">
        <v>27060</v>
      </c>
      <c r="B568" s="79" t="e">
        <f>NA()</f>
        <v>#N/A</v>
      </c>
      <c r="C568" s="80" t="e">
        <v>#N/A</v>
      </c>
      <c r="D568" s="14">
        <f>62.1</f>
        <v>62.1</v>
      </c>
      <c r="E568" s="14">
        <f>106.1</f>
        <v>106.1</v>
      </c>
      <c r="F568" s="14">
        <f>20.1</f>
        <v>20.100000000000001</v>
      </c>
      <c r="G568" s="14">
        <f>12.8</f>
        <v>12.8</v>
      </c>
      <c r="H568" s="14" t="e">
        <f>NA()</f>
        <v>#N/A</v>
      </c>
      <c r="I568" s="86">
        <f>10.4</f>
        <v>10.4</v>
      </c>
      <c r="J568" s="87">
        <f>data비교작업!S571*100</f>
        <v>11.66666666666667</v>
      </c>
      <c r="K568" s="85" t="e">
        <v>#N/A</v>
      </c>
    </row>
    <row r="569" spans="1:11" ht="18" customHeight="1" x14ac:dyDescent="0.25">
      <c r="A569" s="5">
        <v>27029</v>
      </c>
      <c r="B569" s="79" t="e">
        <f>NA()</f>
        <v>#N/A</v>
      </c>
      <c r="C569" s="80" t="e">
        <v>#N/A</v>
      </c>
      <c r="D569" s="14">
        <f>63.6</f>
        <v>63.6</v>
      </c>
      <c r="E569" s="14">
        <f>86.2</f>
        <v>86.2</v>
      </c>
      <c r="F569" s="14">
        <f>15.1</f>
        <v>15.1</v>
      </c>
      <c r="G569" s="14">
        <f>8.5</f>
        <v>8.5</v>
      </c>
      <c r="H569" s="14" t="e">
        <f>NA()</f>
        <v>#N/A</v>
      </c>
      <c r="I569" s="86">
        <f>12.1</f>
        <v>12.1</v>
      </c>
      <c r="J569" s="87">
        <f>data비교작업!S572*100</f>
        <v>13.559322033898303</v>
      </c>
      <c r="K569" s="85" t="e">
        <v>#N/A</v>
      </c>
    </row>
    <row r="570" spans="1:11" ht="18" customHeight="1" x14ac:dyDescent="0.25">
      <c r="A570" s="5">
        <v>26998</v>
      </c>
      <c r="B570" s="79" t="e">
        <f>NA()</f>
        <v>#N/A</v>
      </c>
      <c r="C570" s="80" t="e">
        <v>#N/A</v>
      </c>
      <c r="D570" s="14">
        <f>68.1</f>
        <v>68.099999999999994</v>
      </c>
      <c r="E570" s="14">
        <f>125.8</f>
        <v>125.8</v>
      </c>
      <c r="F570" s="14">
        <f>9.9</f>
        <v>9.9</v>
      </c>
      <c r="G570" s="14">
        <f>5.6</f>
        <v>5.6</v>
      </c>
      <c r="H570" s="14" t="e">
        <f>NA()</f>
        <v>#N/A</v>
      </c>
      <c r="I570" s="86">
        <f>14.3</f>
        <v>14.3</v>
      </c>
      <c r="J570" s="87">
        <f>data비교작업!S573*100</f>
        <v>15.517241379310351</v>
      </c>
      <c r="K570" s="85" t="e">
        <v>#N/A</v>
      </c>
    </row>
    <row r="571" spans="1:11" ht="18" customHeight="1" x14ac:dyDescent="0.25">
      <c r="A571" s="5">
        <v>26968</v>
      </c>
      <c r="B571" s="79" t="e">
        <f>NA()</f>
        <v>#N/A</v>
      </c>
      <c r="C571" s="80" t="e">
        <v>#N/A</v>
      </c>
      <c r="D571" s="14">
        <f>66.2</f>
        <v>66.2</v>
      </c>
      <c r="E571" s="14">
        <f>149.4</f>
        <v>149.4</v>
      </c>
      <c r="F571" s="14">
        <f>8.7</f>
        <v>8.6999999999999993</v>
      </c>
      <c r="G571" s="14">
        <f>2.4</f>
        <v>2.4</v>
      </c>
      <c r="H571" s="14" t="e">
        <f>NA()</f>
        <v>#N/A</v>
      </c>
      <c r="I571" s="86">
        <f>17.1</f>
        <v>17.100000000000001</v>
      </c>
      <c r="J571" s="87">
        <f>data비교작업!S574*100</f>
        <v>19.642857142857153</v>
      </c>
      <c r="K571" s="85" t="e">
        <v>#N/A</v>
      </c>
    </row>
    <row r="572" spans="1:11" ht="18" customHeight="1" x14ac:dyDescent="0.25">
      <c r="A572" s="5">
        <v>26937</v>
      </c>
      <c r="B572" s="79" t="e">
        <f>NA()</f>
        <v>#N/A</v>
      </c>
      <c r="C572" s="80" t="e">
        <v>#N/A</v>
      </c>
      <c r="D572" s="14">
        <f>63.5</f>
        <v>63.5</v>
      </c>
      <c r="E572" s="14">
        <f>99.9</f>
        <v>99.9</v>
      </c>
      <c r="F572" s="14">
        <f>8</f>
        <v>8</v>
      </c>
      <c r="G572" s="14">
        <f>1.1</f>
        <v>1.1000000000000001</v>
      </c>
      <c r="H572" s="14" t="e">
        <f>NA()</f>
        <v>#N/A</v>
      </c>
      <c r="I572" s="86">
        <f>19.5</f>
        <v>19.5</v>
      </c>
      <c r="J572" s="87">
        <f>data비교작업!S575*100</f>
        <v>21.818181818181824</v>
      </c>
      <c r="K572" s="85" t="e">
        <v>#N/A</v>
      </c>
    </row>
    <row r="573" spans="1:11" ht="18" customHeight="1" x14ac:dyDescent="0.25">
      <c r="A573" s="5">
        <v>26907</v>
      </c>
      <c r="B573" s="79" t="e">
        <f>NA()</f>
        <v>#N/A</v>
      </c>
      <c r="C573" s="80" t="e">
        <v>#N/A</v>
      </c>
      <c r="D573" s="14">
        <f>62.7</f>
        <v>62.7</v>
      </c>
      <c r="E573" s="14">
        <f>91.2</f>
        <v>91.2</v>
      </c>
      <c r="F573" s="14">
        <f>6</f>
        <v>6</v>
      </c>
      <c r="G573" s="14">
        <f>0.3</f>
        <v>0.3</v>
      </c>
      <c r="H573" s="14" t="e">
        <f>NA()</f>
        <v>#N/A</v>
      </c>
      <c r="I573" s="86">
        <f>21.5</f>
        <v>21.5</v>
      </c>
      <c r="J573" s="87">
        <f>data비교작업!S576*100</f>
        <v>24.074074074074069</v>
      </c>
      <c r="K573" s="85" t="e">
        <v>#N/A</v>
      </c>
    </row>
    <row r="574" spans="1:11" ht="18" customHeight="1" x14ac:dyDescent="0.25">
      <c r="A574" s="5">
        <v>26876</v>
      </c>
      <c r="B574" s="79" t="e">
        <f>NA()</f>
        <v>#N/A</v>
      </c>
      <c r="C574" s="80" t="e">
        <v>#N/A</v>
      </c>
      <c r="D574" s="14">
        <f>57.8</f>
        <v>57.8</v>
      </c>
      <c r="E574" s="14">
        <f>84.2</f>
        <v>84.2</v>
      </c>
      <c r="F574" s="14">
        <f>4.6</f>
        <v>4.5999999999999996</v>
      </c>
      <c r="G574" s="14">
        <f>0.9</f>
        <v>0.9</v>
      </c>
      <c r="H574" s="14" t="e">
        <f>NA()</f>
        <v>#N/A</v>
      </c>
      <c r="I574" s="86">
        <f>22.2</f>
        <v>22.2</v>
      </c>
      <c r="J574" s="87">
        <f>data비교작업!S577*100</f>
        <v>24.528301886792452</v>
      </c>
      <c r="K574" s="85" t="e">
        <v>#N/A</v>
      </c>
    </row>
    <row r="575" spans="1:11" ht="18" customHeight="1" x14ac:dyDescent="0.25">
      <c r="A575" s="5">
        <v>26845</v>
      </c>
      <c r="B575" s="79" t="e">
        <f>NA()</f>
        <v>#N/A</v>
      </c>
      <c r="C575" s="80" t="e">
        <v>#N/A</v>
      </c>
      <c r="D575" s="14">
        <f>65</f>
        <v>65</v>
      </c>
      <c r="E575" s="14">
        <f>71.8</f>
        <v>71.8</v>
      </c>
      <c r="F575" s="14">
        <f>4</f>
        <v>4</v>
      </c>
      <c r="G575" s="14">
        <f>1.4</f>
        <v>1.4</v>
      </c>
      <c r="H575" s="14" t="e">
        <f>NA()</f>
        <v>#N/A</v>
      </c>
      <c r="I575" s="86">
        <f>22.6</f>
        <v>22.6</v>
      </c>
      <c r="J575" s="87">
        <f>data비교작업!S578*100</f>
        <v>24.999999999999993</v>
      </c>
      <c r="K575" s="85" t="e">
        <v>#N/A</v>
      </c>
    </row>
    <row r="576" spans="1:11" ht="18" customHeight="1" x14ac:dyDescent="0.25">
      <c r="A576" s="5">
        <v>26815</v>
      </c>
      <c r="B576" s="79" t="e">
        <f>NA()</f>
        <v>#N/A</v>
      </c>
      <c r="C576" s="80" t="e">
        <v>#N/A</v>
      </c>
      <c r="D576" s="14">
        <f>64.8</f>
        <v>64.8</v>
      </c>
      <c r="E576" s="14">
        <f>107.5</f>
        <v>107.5</v>
      </c>
      <c r="F576" s="14">
        <f>4.2</f>
        <v>4.2</v>
      </c>
      <c r="G576" s="14">
        <f>2.2</f>
        <v>2.2000000000000002</v>
      </c>
      <c r="H576" s="14" t="e">
        <f>NA()</f>
        <v>#N/A</v>
      </c>
      <c r="I576" s="86">
        <f>24</f>
        <v>24</v>
      </c>
      <c r="J576" s="87">
        <f>data비교작업!S579*100</f>
        <v>27.450980392156872</v>
      </c>
      <c r="K576" s="85" t="e">
        <v>#N/A</v>
      </c>
    </row>
    <row r="577" spans="1:11" ht="18" customHeight="1" x14ac:dyDescent="0.25">
      <c r="A577" s="5">
        <v>26784</v>
      </c>
      <c r="B577" s="79" t="e">
        <f>NA()</f>
        <v>#N/A</v>
      </c>
      <c r="C577" s="80" t="e">
        <v>#N/A</v>
      </c>
      <c r="D577" s="14">
        <f>67.7</f>
        <v>67.7</v>
      </c>
      <c r="E577" s="14">
        <f>88.1</f>
        <v>88.1</v>
      </c>
      <c r="F577" s="14">
        <f>4.4</f>
        <v>4.4000000000000004</v>
      </c>
      <c r="G577" s="14">
        <f>2</f>
        <v>2</v>
      </c>
      <c r="H577" s="14" t="e">
        <f>NA()</f>
        <v>#N/A</v>
      </c>
      <c r="I577" s="86">
        <f>24.5</f>
        <v>24.5</v>
      </c>
      <c r="J577" s="87">
        <f>data비교작업!S580*100</f>
        <v>28.000000000000007</v>
      </c>
      <c r="K577" s="85" t="e">
        <v>#N/A</v>
      </c>
    </row>
    <row r="578" spans="1:11" ht="18" customHeight="1" x14ac:dyDescent="0.25">
      <c r="A578" s="5">
        <v>26754</v>
      </c>
      <c r="B578" s="79" t="e">
        <f>NA()</f>
        <v>#N/A</v>
      </c>
      <c r="C578" s="80" t="e">
        <v>#N/A</v>
      </c>
      <c r="D578" s="14">
        <f>69.6</f>
        <v>69.599999999999994</v>
      </c>
      <c r="E578" s="14">
        <f>127.6</f>
        <v>127.6</v>
      </c>
      <c r="F578" s="14">
        <f>4.4</f>
        <v>4.4000000000000004</v>
      </c>
      <c r="G578" s="14">
        <f>2.1</f>
        <v>2.1</v>
      </c>
      <c r="H578" s="14" t="e">
        <f>NA()</f>
        <v>#N/A</v>
      </c>
      <c r="I578" s="86">
        <f>24.7</f>
        <v>24.7</v>
      </c>
      <c r="J578" s="87">
        <f>data비교작업!S581*100</f>
        <v>25.999999999999996</v>
      </c>
      <c r="K578" s="85" t="e">
        <v>#N/A</v>
      </c>
    </row>
    <row r="579" spans="1:11" ht="18" customHeight="1" x14ac:dyDescent="0.25">
      <c r="A579" s="5">
        <v>26723</v>
      </c>
      <c r="B579" s="79" t="e">
        <f>NA()</f>
        <v>#N/A</v>
      </c>
      <c r="C579" s="80" t="e">
        <v>#N/A</v>
      </c>
      <c r="D579" s="14">
        <f>69.6</f>
        <v>69.599999999999994</v>
      </c>
      <c r="E579" s="14">
        <f>56</f>
        <v>56</v>
      </c>
      <c r="F579" s="14">
        <f>6.1</f>
        <v>6.1</v>
      </c>
      <c r="G579" s="14">
        <f>4.8</f>
        <v>4.8</v>
      </c>
      <c r="H579" s="14" t="e">
        <f>NA()</f>
        <v>#N/A</v>
      </c>
      <c r="I579" s="86">
        <f>22.5</f>
        <v>22.5</v>
      </c>
      <c r="J579" s="87">
        <f>data비교작업!S582*100</f>
        <v>26.530612244897956</v>
      </c>
      <c r="K579" s="85" t="e">
        <v>#N/A</v>
      </c>
    </row>
    <row r="580" spans="1:11" ht="18" customHeight="1" x14ac:dyDescent="0.25">
      <c r="A580" s="5">
        <v>26695</v>
      </c>
      <c r="B580" s="79" t="e">
        <f>NA()</f>
        <v>#N/A</v>
      </c>
      <c r="C580" s="80" t="e">
        <v>#N/A</v>
      </c>
      <c r="D580" s="14">
        <f>72.1</f>
        <v>72.099999999999994</v>
      </c>
      <c r="E580" s="14">
        <f>92.4</f>
        <v>92.4</v>
      </c>
      <c r="F580" s="14">
        <f>8.1</f>
        <v>8.1</v>
      </c>
      <c r="G580" s="14">
        <f>7.9</f>
        <v>7.9</v>
      </c>
      <c r="H580" s="14" t="e">
        <f>NA()</f>
        <v>#N/A</v>
      </c>
      <c r="I580" s="86">
        <f>20.7</f>
        <v>20.7</v>
      </c>
      <c r="J580" s="87">
        <f>data비교작업!S583*100</f>
        <v>22.448979591836725</v>
      </c>
      <c r="K580" s="85" t="e">
        <v>#N/A</v>
      </c>
    </row>
    <row r="581" spans="1:11" ht="18" customHeight="1" x14ac:dyDescent="0.25">
      <c r="A581" s="5">
        <v>26664</v>
      </c>
      <c r="B581" s="79" t="e">
        <f>NA()</f>
        <v>#N/A</v>
      </c>
      <c r="C581" s="80" t="e">
        <v>#N/A</v>
      </c>
      <c r="D581" s="14">
        <f>70.5</f>
        <v>70.5</v>
      </c>
      <c r="E581" s="14">
        <f>72.3</f>
        <v>72.3</v>
      </c>
      <c r="F581" s="14">
        <f>8.4</f>
        <v>8.4</v>
      </c>
      <c r="G581" s="14">
        <f>9.2</f>
        <v>9.1999999999999993</v>
      </c>
      <c r="H581" s="14" t="e">
        <f>NA()</f>
        <v>#N/A</v>
      </c>
      <c r="I581" s="86">
        <f>18.3</f>
        <v>18.3</v>
      </c>
      <c r="J581" s="87">
        <f>data비교작업!S584*100</f>
        <v>20.408163265306118</v>
      </c>
      <c r="K581" s="85" t="e">
        <v>#N/A</v>
      </c>
    </row>
    <row r="582" spans="1:11" ht="18" customHeight="1" x14ac:dyDescent="0.25">
      <c r="A582" s="5">
        <v>26633</v>
      </c>
      <c r="B582" s="79" t="e">
        <f>NA()</f>
        <v>#N/A</v>
      </c>
      <c r="C582" s="80" t="e">
        <v>#N/A</v>
      </c>
      <c r="D582" s="14">
        <f>69.9</f>
        <v>69.900000000000006</v>
      </c>
      <c r="E582" s="14">
        <f>46.4</f>
        <v>46.4</v>
      </c>
      <c r="F582" s="14">
        <f>8.6</f>
        <v>8.6</v>
      </c>
      <c r="G582" s="14">
        <f>10.1</f>
        <v>10.1</v>
      </c>
      <c r="H582" s="14" t="e">
        <f>NA()</f>
        <v>#N/A</v>
      </c>
      <c r="I582" s="86">
        <f>17</f>
        <v>17</v>
      </c>
      <c r="J582" s="87">
        <f>data비교작업!S585*100</f>
        <v>18.367346938775498</v>
      </c>
      <c r="K582" s="85" t="e">
        <v>#N/A</v>
      </c>
    </row>
    <row r="583" spans="1:11" ht="18" customHeight="1" x14ac:dyDescent="0.25">
      <c r="A583" s="5">
        <v>26603</v>
      </c>
      <c r="B583" s="79" t="e">
        <f>NA()</f>
        <v>#N/A</v>
      </c>
      <c r="C583" s="80" t="e">
        <v>#N/A</v>
      </c>
      <c r="D583" s="14">
        <f>67</f>
        <v>67</v>
      </c>
      <c r="E583" s="14">
        <f>49.1</f>
        <v>49.1</v>
      </c>
      <c r="F583" s="14">
        <f>9.6</f>
        <v>9.6</v>
      </c>
      <c r="G583" s="14">
        <f>12.4</f>
        <v>12.4</v>
      </c>
      <c r="H583" s="14" t="e">
        <f>NA()</f>
        <v>#N/A</v>
      </c>
      <c r="I583" s="86">
        <f>15</f>
        <v>15</v>
      </c>
      <c r="J583" s="87">
        <f>data비교작업!S586*100</f>
        <v>14.28571428571427</v>
      </c>
      <c r="K583" s="85" t="e">
        <v>#N/A</v>
      </c>
    </row>
    <row r="584" spans="1:11" ht="18" customHeight="1" x14ac:dyDescent="0.25">
      <c r="A584" s="5">
        <v>26572</v>
      </c>
      <c r="B584" s="79" t="e">
        <f>NA()</f>
        <v>#N/A</v>
      </c>
      <c r="C584" s="80" t="e">
        <v>#N/A</v>
      </c>
      <c r="D584" s="14">
        <f>65.1</f>
        <v>65.099999999999994</v>
      </c>
      <c r="E584" s="14">
        <f>72.1</f>
        <v>72.099999999999994</v>
      </c>
      <c r="F584" s="14">
        <f>12.2</f>
        <v>12.2</v>
      </c>
      <c r="G584" s="14">
        <f>12.8</f>
        <v>12.8</v>
      </c>
      <c r="H584" s="14" t="e">
        <f>NA()</f>
        <v>#N/A</v>
      </c>
      <c r="I584" s="86">
        <f>12.9</f>
        <v>12.9</v>
      </c>
      <c r="J584" s="87">
        <f>data비교작업!S587*100</f>
        <v>14.583333333333337</v>
      </c>
      <c r="K584" s="85" t="e">
        <v>#N/A</v>
      </c>
    </row>
    <row r="585" spans="1:11" ht="18" customHeight="1" x14ac:dyDescent="0.25">
      <c r="A585" s="5">
        <v>26542</v>
      </c>
      <c r="B585" s="79" t="e">
        <f>NA()</f>
        <v>#N/A</v>
      </c>
      <c r="C585" s="80" t="e">
        <v>#N/A</v>
      </c>
      <c r="D585" s="14">
        <f>61.7</f>
        <v>61.7</v>
      </c>
      <c r="E585" s="14">
        <f>77.7</f>
        <v>77.7</v>
      </c>
      <c r="F585" s="14">
        <f>16.5</f>
        <v>16.5</v>
      </c>
      <c r="G585" s="14">
        <f>14.6</f>
        <v>14.6</v>
      </c>
      <c r="H585" s="14" t="e">
        <f>NA()</f>
        <v>#N/A</v>
      </c>
      <c r="I585" s="86">
        <f>10.7</f>
        <v>10.7</v>
      </c>
      <c r="J585" s="87">
        <f>data비교작업!S588*100</f>
        <v>10.204081632653059</v>
      </c>
      <c r="K585" s="85" t="e">
        <v>#N/A</v>
      </c>
    </row>
    <row r="586" spans="1:11" ht="18" customHeight="1" x14ac:dyDescent="0.25">
      <c r="A586" s="5">
        <v>26511</v>
      </c>
      <c r="B586" s="79" t="e">
        <f>NA()</f>
        <v>#N/A</v>
      </c>
      <c r="C586" s="80" t="e">
        <v>#N/A</v>
      </c>
      <c r="D586" s="14">
        <f>60.1</f>
        <v>60.1</v>
      </c>
      <c r="E586" s="14">
        <f>45.1</f>
        <v>45.1</v>
      </c>
      <c r="F586" s="14">
        <f>16.7</f>
        <v>16.7</v>
      </c>
      <c r="G586" s="14">
        <f>13.9</f>
        <v>13.9</v>
      </c>
      <c r="H586" s="14" t="e">
        <f>NA()</f>
        <v>#N/A</v>
      </c>
      <c r="I586" s="86">
        <f>9.4</f>
        <v>9.4</v>
      </c>
      <c r="J586" s="87">
        <f>data비교작업!S589*100</f>
        <v>10.416666666666668</v>
      </c>
      <c r="K586" s="85" t="e">
        <v>#N/A</v>
      </c>
    </row>
    <row r="587" spans="1:11" ht="18" customHeight="1" x14ac:dyDescent="0.25">
      <c r="A587" s="5">
        <v>26480</v>
      </c>
      <c r="B587" s="79" t="e">
        <f>NA()</f>
        <v>#N/A</v>
      </c>
      <c r="C587" s="80" t="e">
        <v>#N/A</v>
      </c>
      <c r="D587" s="14">
        <f>58.6</f>
        <v>58.6</v>
      </c>
      <c r="E587" s="14">
        <f>40.2</f>
        <v>40.200000000000003</v>
      </c>
      <c r="F587" s="14">
        <f>15.9</f>
        <v>15.9</v>
      </c>
      <c r="G587" s="14">
        <f>14.7</f>
        <v>14.7</v>
      </c>
      <c r="H587" s="14" t="e">
        <f>NA()</f>
        <v>#N/A</v>
      </c>
      <c r="I587" s="86">
        <f>8.2</f>
        <v>8.1999999999999993</v>
      </c>
      <c r="J587" s="87">
        <f>data비교작업!S590*100</f>
        <v>8.333333333333341</v>
      </c>
      <c r="K587" s="85" t="e">
        <v>#N/A</v>
      </c>
    </row>
    <row r="588" spans="1:11" ht="18" customHeight="1" x14ac:dyDescent="0.25">
      <c r="A588" s="5">
        <v>26450</v>
      </c>
      <c r="B588" s="79" t="e">
        <f>NA()</f>
        <v>#N/A</v>
      </c>
      <c r="C588" s="80" t="e">
        <v>#N/A</v>
      </c>
      <c r="D588" s="14">
        <f>61.4</f>
        <v>61.4</v>
      </c>
      <c r="E588" s="14">
        <f>42.2</f>
        <v>42.2</v>
      </c>
      <c r="F588" s="14">
        <f>17.5</f>
        <v>17.5</v>
      </c>
      <c r="G588" s="14">
        <f>13.8</f>
        <v>13.8</v>
      </c>
      <c r="H588" s="14" t="e">
        <f>NA()</f>
        <v>#N/A</v>
      </c>
      <c r="I588" s="86">
        <f>7.7</f>
        <v>7.7</v>
      </c>
      <c r="J588" s="87">
        <f>data비교작업!S591*100</f>
        <v>8.5106382978723296</v>
      </c>
      <c r="K588" s="85" t="e">
        <v>#N/A</v>
      </c>
    </row>
    <row r="589" spans="1:11" ht="18" customHeight="1" x14ac:dyDescent="0.25">
      <c r="A589" s="5">
        <v>26419</v>
      </c>
      <c r="B589" s="79" t="e">
        <f>NA()</f>
        <v>#N/A</v>
      </c>
      <c r="C589" s="80" t="e">
        <v>#N/A</v>
      </c>
      <c r="D589" s="14">
        <f>59.3</f>
        <v>59.3</v>
      </c>
      <c r="E589" s="14">
        <f>42.4</f>
        <v>42.4</v>
      </c>
      <c r="F589" s="14">
        <f>17.4</f>
        <v>17.399999999999999</v>
      </c>
      <c r="G589" s="14">
        <f>11.4</f>
        <v>11.4</v>
      </c>
      <c r="H589" s="14" t="e">
        <f>NA()</f>
        <v>#N/A</v>
      </c>
      <c r="I589" s="86">
        <f>6.7</f>
        <v>6.7</v>
      </c>
      <c r="J589" s="87">
        <f>data비교작업!S592*100</f>
        <v>6.3829787234042508</v>
      </c>
      <c r="K589" s="85" t="e">
        <v>#N/A</v>
      </c>
    </row>
    <row r="590" spans="1:11" ht="18" customHeight="1" x14ac:dyDescent="0.25">
      <c r="A590" s="5">
        <v>26389</v>
      </c>
      <c r="B590" s="79" t="e">
        <f>NA()</f>
        <v>#N/A</v>
      </c>
      <c r="C590" s="80" t="e">
        <v>#N/A</v>
      </c>
      <c r="D590" s="14">
        <f>59.8</f>
        <v>59.8</v>
      </c>
      <c r="E590" s="14">
        <f>30.3</f>
        <v>30.3</v>
      </c>
      <c r="F590" s="14">
        <f>17.3</f>
        <v>17.3</v>
      </c>
      <c r="G590" s="14">
        <f>10.2</f>
        <v>10.199999999999999</v>
      </c>
      <c r="H590" s="14" t="e">
        <f>NA()</f>
        <v>#N/A</v>
      </c>
      <c r="I590" s="86">
        <f>6.4</f>
        <v>6.4</v>
      </c>
      <c r="J590" s="87">
        <f>data비교작업!S593*100</f>
        <v>6.3829787234042508</v>
      </c>
      <c r="K590" s="85" t="e">
        <v>#N/A</v>
      </c>
    </row>
    <row r="591" spans="1:11" ht="18" customHeight="1" x14ac:dyDescent="0.25">
      <c r="A591" s="5">
        <v>26358</v>
      </c>
      <c r="B591" s="79" t="e">
        <f>NA()</f>
        <v>#N/A</v>
      </c>
      <c r="C591" s="80" t="e">
        <v>#N/A</v>
      </c>
      <c r="D591" s="14">
        <f>60.6</f>
        <v>60.6</v>
      </c>
      <c r="E591" s="14">
        <f>70.7</f>
        <v>70.7</v>
      </c>
      <c r="F591" s="14">
        <f>15.4</f>
        <v>15.4</v>
      </c>
      <c r="G591" s="14">
        <f>9.2</f>
        <v>9.1999999999999993</v>
      </c>
      <c r="H591" s="14" t="e">
        <f>NA()</f>
        <v>#N/A</v>
      </c>
      <c r="I591" s="86">
        <f>6.1</f>
        <v>6.1</v>
      </c>
      <c r="J591" s="87">
        <f>data비교작업!S594*100</f>
        <v>6.5217391304347991</v>
      </c>
      <c r="K591" s="85" t="e">
        <v>#N/A</v>
      </c>
    </row>
    <row r="592" spans="1:11" ht="18" customHeight="1" x14ac:dyDescent="0.25">
      <c r="A592" s="5">
        <v>26329</v>
      </c>
      <c r="B592" s="79" t="e">
        <f>NA()</f>
        <v>#N/A</v>
      </c>
      <c r="C592" s="80" t="e">
        <v>#N/A</v>
      </c>
      <c r="D592" s="14">
        <f>59.6</f>
        <v>59.6</v>
      </c>
      <c r="E592" s="14">
        <f>25.6</f>
        <v>25.6</v>
      </c>
      <c r="F592" s="14">
        <f>13.3</f>
        <v>13.3</v>
      </c>
      <c r="G592" s="14">
        <f>7.9</f>
        <v>7.9</v>
      </c>
      <c r="H592" s="14" t="e">
        <f>NA()</f>
        <v>#N/A</v>
      </c>
      <c r="I592" s="86">
        <f>6.3</f>
        <v>6.3</v>
      </c>
      <c r="J592" s="87">
        <f>data비교작업!S595*100</f>
        <v>6.5217391304347991</v>
      </c>
      <c r="K592" s="85" t="e">
        <v>#N/A</v>
      </c>
    </row>
    <row r="593" spans="1:11" ht="18" customHeight="1" x14ac:dyDescent="0.25">
      <c r="A593" s="5">
        <v>26298</v>
      </c>
      <c r="B593" s="79" t="e">
        <f>NA()</f>
        <v>#N/A</v>
      </c>
      <c r="C593" s="80" t="e">
        <v>#N/A</v>
      </c>
      <c r="D593" s="14">
        <f>57.6</f>
        <v>57.6</v>
      </c>
      <c r="E593" s="14">
        <f>25.3</f>
        <v>25.3</v>
      </c>
      <c r="F593" s="14">
        <f>13</f>
        <v>13</v>
      </c>
      <c r="G593" s="14">
        <f>9.1</f>
        <v>9.1</v>
      </c>
      <c r="H593" s="14" t="e">
        <f>NA()</f>
        <v>#N/A</v>
      </c>
      <c r="I593" s="86">
        <f>7</f>
        <v>7</v>
      </c>
      <c r="J593" s="87">
        <f>data비교작업!S596*100</f>
        <v>6.5217391304347991</v>
      </c>
      <c r="K593" s="85" t="e">
        <v>#N/A</v>
      </c>
    </row>
    <row r="594" spans="1:11" ht="18" customHeight="1" x14ac:dyDescent="0.25">
      <c r="A594" s="5">
        <v>26267</v>
      </c>
      <c r="B594" s="79" t="e">
        <f>NA()</f>
        <v>#N/A</v>
      </c>
      <c r="C594" s="80" t="e">
        <v>#N/A</v>
      </c>
      <c r="D594" s="14">
        <f>52.3</f>
        <v>52.3</v>
      </c>
      <c r="E594" s="14">
        <f>58.3</f>
        <v>58.3</v>
      </c>
      <c r="F594" s="14">
        <f>12.7</f>
        <v>12.7</v>
      </c>
      <c r="G594" s="14">
        <f>11.8</f>
        <v>11.8</v>
      </c>
      <c r="H594" s="14" t="e">
        <f>NA()</f>
        <v>#N/A</v>
      </c>
      <c r="I594" s="86">
        <f>7.4</f>
        <v>7.4</v>
      </c>
      <c r="J594" s="87">
        <f>data비교작업!S597*100</f>
        <v>8.8888888888888964</v>
      </c>
      <c r="K594" s="85" t="e">
        <v>#N/A</v>
      </c>
    </row>
    <row r="595" spans="1:11" ht="18" customHeight="1" x14ac:dyDescent="0.25">
      <c r="A595" s="5">
        <v>26237</v>
      </c>
      <c r="B595" s="79" t="e">
        <f>NA()</f>
        <v>#N/A</v>
      </c>
      <c r="C595" s="80" t="e">
        <v>#N/A</v>
      </c>
      <c r="D595" s="14">
        <f>55</f>
        <v>55</v>
      </c>
      <c r="E595" s="14">
        <f>24.2</f>
        <v>24.2</v>
      </c>
      <c r="F595" s="14">
        <f>12.7</f>
        <v>12.7</v>
      </c>
      <c r="G595" s="14">
        <f>11.4</f>
        <v>11.4</v>
      </c>
      <c r="H595" s="14" t="e">
        <f>NA()</f>
        <v>#N/A</v>
      </c>
      <c r="I595" s="86">
        <f>7.8</f>
        <v>7.8</v>
      </c>
      <c r="J595" s="87">
        <f>data비교작업!S598*100</f>
        <v>8.8888888888888964</v>
      </c>
      <c r="K595" s="85" t="e">
        <v>#N/A</v>
      </c>
    </row>
    <row r="596" spans="1:11" ht="18" customHeight="1" x14ac:dyDescent="0.25">
      <c r="A596" s="5">
        <v>26206</v>
      </c>
      <c r="B596" s="79" t="e">
        <f>NA()</f>
        <v>#N/A</v>
      </c>
      <c r="C596" s="80" t="e">
        <v>#N/A</v>
      </c>
      <c r="D596" s="14">
        <f>55.1</f>
        <v>55.1</v>
      </c>
      <c r="E596" s="14">
        <f>36.4</f>
        <v>36.4</v>
      </c>
      <c r="F596" s="14">
        <f>10.6</f>
        <v>10.6</v>
      </c>
      <c r="G596" s="14">
        <f>14.5</f>
        <v>14.5</v>
      </c>
      <c r="H596" s="14" t="e">
        <f>NA()</f>
        <v>#N/A</v>
      </c>
      <c r="I596" s="86">
        <f>8</f>
        <v>8</v>
      </c>
      <c r="J596" s="87">
        <f>data비교작업!S599*100</f>
        <v>6.6666666666666625</v>
      </c>
      <c r="K596" s="85" t="e">
        <v>#N/A</v>
      </c>
    </row>
    <row r="597" spans="1:11" ht="18" customHeight="1" x14ac:dyDescent="0.25">
      <c r="A597" s="5">
        <v>26176</v>
      </c>
      <c r="B597" s="79" t="e">
        <f>NA()</f>
        <v>#N/A</v>
      </c>
      <c r="C597" s="80" t="e">
        <v>#N/A</v>
      </c>
      <c r="D597" s="14">
        <f>53.6</f>
        <v>53.6</v>
      </c>
      <c r="E597" s="14">
        <f>17.8</f>
        <v>17.8</v>
      </c>
      <c r="F597" s="14">
        <f>7.8</f>
        <v>7.8</v>
      </c>
      <c r="G597" s="14">
        <f>15.4</f>
        <v>15.4</v>
      </c>
      <c r="H597" s="14" t="e">
        <f>NA()</f>
        <v>#N/A</v>
      </c>
      <c r="I597" s="86">
        <f>9</f>
        <v>9</v>
      </c>
      <c r="J597" s="87">
        <f>data비교작업!S600*100</f>
        <v>11.363636363636363</v>
      </c>
      <c r="K597" s="85" t="e">
        <v>#N/A</v>
      </c>
    </row>
    <row r="598" spans="1:11" ht="18" customHeight="1" x14ac:dyDescent="0.25">
      <c r="A598" s="5">
        <v>26145</v>
      </c>
      <c r="B598" s="79" t="e">
        <f>NA()</f>
        <v>#N/A</v>
      </c>
      <c r="C598" s="80" t="e">
        <v>#N/A</v>
      </c>
      <c r="D598" s="14">
        <f>54.4</f>
        <v>54.4</v>
      </c>
      <c r="E598" s="14">
        <f>20.5</f>
        <v>20.5</v>
      </c>
      <c r="F598" s="14">
        <f>7.1</f>
        <v>7.1</v>
      </c>
      <c r="G598" s="14">
        <f>15.1</f>
        <v>15.1</v>
      </c>
      <c r="H598" s="14" t="e">
        <f>NA()</f>
        <v>#N/A</v>
      </c>
      <c r="I598" s="86">
        <f>9.1</f>
        <v>9.1</v>
      </c>
      <c r="J598" s="87">
        <f>data비교작업!S601*100</f>
        <v>9.0909090909090793</v>
      </c>
      <c r="K598" s="85" t="e">
        <v>#N/A</v>
      </c>
    </row>
    <row r="599" spans="1:11" ht="18" customHeight="1" x14ac:dyDescent="0.25">
      <c r="A599" s="5">
        <v>26114</v>
      </c>
      <c r="B599" s="79" t="e">
        <f>NA()</f>
        <v>#N/A</v>
      </c>
      <c r="C599" s="80" t="e">
        <v>#N/A</v>
      </c>
      <c r="D599" s="14">
        <f>53.8</f>
        <v>53.8</v>
      </c>
      <c r="E599" s="14">
        <f>37.2</f>
        <v>37.200000000000003</v>
      </c>
      <c r="F599" s="14">
        <f>7.7</f>
        <v>7.7</v>
      </c>
      <c r="G599" s="14">
        <f>13.9</f>
        <v>13.9</v>
      </c>
      <c r="H599" s="14" t="e">
        <f>NA()</f>
        <v>#N/A</v>
      </c>
      <c r="I599" s="86">
        <f>9.3</f>
        <v>9.3000000000000007</v>
      </c>
      <c r="J599" s="87">
        <f>data비교작업!S602*100</f>
        <v>9.0909090909090793</v>
      </c>
      <c r="K599" s="85" t="e">
        <v>#N/A</v>
      </c>
    </row>
    <row r="600" spans="1:11" ht="18" customHeight="1" x14ac:dyDescent="0.25">
      <c r="A600" s="5">
        <v>26084</v>
      </c>
      <c r="B600" s="79" t="e">
        <f>NA()</f>
        <v>#N/A</v>
      </c>
      <c r="C600" s="80" t="e">
        <v>#N/A</v>
      </c>
      <c r="D600" s="14">
        <f>54.2</f>
        <v>54.2</v>
      </c>
      <c r="E600" s="14">
        <f>31</f>
        <v>31</v>
      </c>
      <c r="F600" s="14">
        <f>5.8</f>
        <v>5.8</v>
      </c>
      <c r="G600" s="14">
        <f>11.7</f>
        <v>11.7</v>
      </c>
      <c r="H600" s="14" t="e">
        <f>NA()</f>
        <v>#N/A</v>
      </c>
      <c r="I600" s="86">
        <f>0</f>
        <v>0</v>
      </c>
      <c r="J600" s="87">
        <f>data비교작업!S603*100</f>
        <v>9.3023255813953565</v>
      </c>
      <c r="K600" s="85" t="e">
        <v>#N/A</v>
      </c>
    </row>
    <row r="601" spans="1:11" ht="18" customHeight="1" x14ac:dyDescent="0.25">
      <c r="A601" s="5">
        <v>26053</v>
      </c>
      <c r="B601" s="79" t="e">
        <f>NA()</f>
        <v>#N/A</v>
      </c>
      <c r="C601" s="80" t="e">
        <v>#N/A</v>
      </c>
      <c r="D601" s="14">
        <f>54.5</f>
        <v>54.5</v>
      </c>
      <c r="E601" s="14">
        <f>19.8</f>
        <v>19.8</v>
      </c>
      <c r="F601" s="14">
        <f>5.3</f>
        <v>5.3</v>
      </c>
      <c r="G601" s="14">
        <f>12.6</f>
        <v>12.6</v>
      </c>
      <c r="H601" s="14" t="e">
        <f>NA()</f>
        <v>#N/A</v>
      </c>
      <c r="I601" s="86">
        <f>0</f>
        <v>0</v>
      </c>
      <c r="J601" s="87">
        <f>data비교작업!S604*100</f>
        <v>9.3023255813953565</v>
      </c>
      <c r="K601" s="85" t="e">
        <v>#N/A</v>
      </c>
    </row>
    <row r="602" spans="1:11" ht="18" customHeight="1" x14ac:dyDescent="0.25">
      <c r="A602" s="5">
        <v>26023</v>
      </c>
      <c r="B602" s="79" t="e">
        <f>NA()</f>
        <v>#N/A</v>
      </c>
      <c r="C602" s="80" t="e">
        <v>#N/A</v>
      </c>
      <c r="D602" s="14">
        <f>51.2</f>
        <v>51.2</v>
      </c>
      <c r="E602" s="14">
        <f>18.7</f>
        <v>18.7</v>
      </c>
      <c r="F602" s="14">
        <f>6.1</f>
        <v>6.1</v>
      </c>
      <c r="G602" s="14">
        <f>15.5</f>
        <v>15.5</v>
      </c>
      <c r="H602" s="14" t="e">
        <f>NA()</f>
        <v>#N/A</v>
      </c>
      <c r="I602" s="86">
        <f>0</f>
        <v>0</v>
      </c>
      <c r="J602" s="87">
        <f>data비교작업!S605*100</f>
        <v>9.3023255813953565</v>
      </c>
      <c r="K602" s="85" t="e">
        <v>#N/A</v>
      </c>
    </row>
    <row r="603" spans="1:11" ht="18" customHeight="1" x14ac:dyDescent="0.25">
      <c r="A603" s="5">
        <v>25992</v>
      </c>
      <c r="B603" s="79" t="e">
        <f>NA()</f>
        <v>#N/A</v>
      </c>
      <c r="C603" s="80" t="e">
        <v>#N/A</v>
      </c>
      <c r="D603" s="14">
        <f>54.8</f>
        <v>54.8</v>
      </c>
      <c r="E603" s="14">
        <f>26</f>
        <v>26</v>
      </c>
      <c r="F603" s="14">
        <f>6.8</f>
        <v>6.8</v>
      </c>
      <c r="G603" s="14">
        <f>15.9</f>
        <v>15.9</v>
      </c>
      <c r="H603" s="14" t="e">
        <f>NA()</f>
        <v>#N/A</v>
      </c>
      <c r="I603" s="86">
        <f>0</f>
        <v>0</v>
      </c>
      <c r="J603" s="87">
        <f>data비교작업!S606*100</f>
        <v>9.5238095238095113</v>
      </c>
      <c r="K603" s="85" t="e">
        <v>#N/A</v>
      </c>
    </row>
    <row r="604" spans="1:11" ht="18" customHeight="1" x14ac:dyDescent="0.25">
      <c r="A604" s="5">
        <v>25964</v>
      </c>
      <c r="B604" s="79" t="e">
        <f>NA()</f>
        <v>#N/A</v>
      </c>
      <c r="C604" s="80" t="e">
        <v>#N/A</v>
      </c>
      <c r="D604" s="14">
        <f>47.9</f>
        <v>47.9</v>
      </c>
      <c r="E604" s="14">
        <f>19.8</f>
        <v>19.8</v>
      </c>
      <c r="F604" s="14">
        <f>7.3</f>
        <v>7.3</v>
      </c>
      <c r="G604" s="14">
        <f>15.9</f>
        <v>15.9</v>
      </c>
      <c r="H604" s="14" t="e">
        <f>NA()</f>
        <v>#N/A</v>
      </c>
      <c r="I604" s="86">
        <f>0</f>
        <v>0</v>
      </c>
      <c r="J604" s="87">
        <f>data비교작업!S607*100</f>
        <v>9.5238095238095113</v>
      </c>
      <c r="K604" s="85" t="e">
        <v>#N/A</v>
      </c>
    </row>
    <row r="605" spans="1:11" ht="18" customHeight="1" x14ac:dyDescent="0.25">
      <c r="A605" s="5">
        <v>25933</v>
      </c>
      <c r="B605" s="79" t="e">
        <f>NA()</f>
        <v>#N/A</v>
      </c>
      <c r="C605" s="80" t="e">
        <v>#N/A</v>
      </c>
      <c r="D605" s="14">
        <f>45.4</f>
        <v>45.4</v>
      </c>
      <c r="E605" s="14">
        <f>17.6</f>
        <v>17.600000000000001</v>
      </c>
      <c r="F605" s="14">
        <f>9.3</f>
        <v>9.3000000000000007</v>
      </c>
      <c r="G605" s="14">
        <f>14.4</f>
        <v>14.4</v>
      </c>
      <c r="H605" s="14" t="e">
        <f>NA()</f>
        <v>#N/A</v>
      </c>
      <c r="I605" s="86">
        <f>0</f>
        <v>0</v>
      </c>
      <c r="J605" s="87" t="e">
        <f>data비교작업!S608*100</f>
        <v>#N/A</v>
      </c>
      <c r="K605" s="85" t="e">
        <v>#N/A</v>
      </c>
    </row>
    <row r="606" spans="1:11" ht="18" customHeight="1" x14ac:dyDescent="0.25">
      <c r="A606" s="5">
        <v>25902</v>
      </c>
      <c r="B606" s="79" t="e">
        <f>NA()</f>
        <v>#N/A</v>
      </c>
      <c r="C606" s="80" t="e">
        <v>#N/A</v>
      </c>
      <c r="D606" s="14">
        <f>39.7</f>
        <v>39.700000000000003</v>
      </c>
      <c r="E606" s="14">
        <f>20.4</f>
        <v>20.399999999999999</v>
      </c>
      <c r="F606" s="14">
        <f>9.6</f>
        <v>9.6</v>
      </c>
      <c r="G606" s="14">
        <f>13</f>
        <v>13</v>
      </c>
      <c r="H606" s="14" t="e">
        <f>NA()</f>
        <v>#N/A</v>
      </c>
      <c r="I606" s="86">
        <f>0</f>
        <v>0</v>
      </c>
      <c r="J606" s="87" t="e">
        <f>data비교작업!S609*100</f>
        <v>#N/A</v>
      </c>
      <c r="K606" s="85" t="e">
        <v>#N/A</v>
      </c>
    </row>
    <row r="607" spans="1:11" ht="18" customHeight="1" x14ac:dyDescent="0.25">
      <c r="A607" s="5">
        <v>25872</v>
      </c>
      <c r="B607" s="79" t="e">
        <f>NA()</f>
        <v>#N/A</v>
      </c>
      <c r="C607" s="80" t="e">
        <v>#N/A</v>
      </c>
      <c r="D607" s="14">
        <f>42.4</f>
        <v>42.4</v>
      </c>
      <c r="E607" s="14">
        <f>48.2</f>
        <v>48.2</v>
      </c>
      <c r="F607" s="14">
        <f>9</f>
        <v>9</v>
      </c>
      <c r="G607" s="14">
        <f>14.5</f>
        <v>14.5</v>
      </c>
      <c r="H607" s="14" t="e">
        <f>NA()</f>
        <v>#N/A</v>
      </c>
      <c r="I607" s="86">
        <f>0</f>
        <v>0</v>
      </c>
      <c r="J607" s="87" t="e">
        <f>data비교작업!S610*100</f>
        <v>#N/A</v>
      </c>
      <c r="K607" s="85" t="e">
        <v>#N/A</v>
      </c>
    </row>
    <row r="608" spans="1:11" ht="18" customHeight="1" x14ac:dyDescent="0.25">
      <c r="A608" s="5">
        <v>25841</v>
      </c>
      <c r="B608" s="79" t="e">
        <f>NA()</f>
        <v>#N/A</v>
      </c>
      <c r="C608" s="80" t="e">
        <v>#N/A</v>
      </c>
      <c r="D608" s="14">
        <f>44.1</f>
        <v>44.1</v>
      </c>
      <c r="E608" s="14">
        <f>39.6</f>
        <v>39.6</v>
      </c>
      <c r="F608" s="14">
        <f>9.8</f>
        <v>9.8000000000000007</v>
      </c>
      <c r="G608" s="14">
        <f>15.3</f>
        <v>15.3</v>
      </c>
      <c r="H608" s="14" t="e">
        <f>NA()</f>
        <v>#N/A</v>
      </c>
      <c r="I608" s="86">
        <f>0</f>
        <v>0</v>
      </c>
      <c r="J608" s="87" t="e">
        <f>data비교작업!S611*100</f>
        <v>#N/A</v>
      </c>
      <c r="K608" s="85" t="e">
        <v>#N/A</v>
      </c>
    </row>
    <row r="609" spans="1:11" ht="18" customHeight="1" x14ac:dyDescent="0.25">
      <c r="A609" s="5">
        <v>25811</v>
      </c>
      <c r="B609" s="79" t="e">
        <f>NA()</f>
        <v>#N/A</v>
      </c>
      <c r="C609" s="80" t="e">
        <v>#N/A</v>
      </c>
      <c r="D609" s="14">
        <f>47.3</f>
        <v>47.3</v>
      </c>
      <c r="E609" s="14">
        <f>35.2</f>
        <v>35.200000000000003</v>
      </c>
      <c r="F609" s="14">
        <f>9.4</f>
        <v>9.4</v>
      </c>
      <c r="G609" s="14">
        <f>16.2</f>
        <v>16.2</v>
      </c>
      <c r="H609" s="14" t="e">
        <f>NA()</f>
        <v>#N/A</v>
      </c>
      <c r="I609" s="86">
        <f>0</f>
        <v>0</v>
      </c>
      <c r="J609" s="87" t="e">
        <f>data비교작업!S612*100</f>
        <v>#N/A</v>
      </c>
      <c r="K609" s="85" t="e">
        <v>#N/A</v>
      </c>
    </row>
    <row r="610" spans="1:11" ht="18" customHeight="1" x14ac:dyDescent="0.25">
      <c r="A610" s="5">
        <v>25780</v>
      </c>
      <c r="B610" s="79" t="e">
        <f>NA()</f>
        <v>#N/A</v>
      </c>
      <c r="C610" s="80" t="e">
        <v>#N/A</v>
      </c>
      <c r="D610" s="14">
        <f>49.5</f>
        <v>49.5</v>
      </c>
      <c r="E610" s="14">
        <f>45.9</f>
        <v>45.9</v>
      </c>
      <c r="F610" s="14">
        <f>9.1</f>
        <v>9.1</v>
      </c>
      <c r="G610" s="14">
        <f>16</f>
        <v>16</v>
      </c>
      <c r="H610" s="14" t="e">
        <f>NA()</f>
        <v>#N/A</v>
      </c>
      <c r="I610" s="86">
        <f>0</f>
        <v>0</v>
      </c>
      <c r="J610" s="87" t="e">
        <f>data비교작업!S613*100</f>
        <v>#N/A</v>
      </c>
      <c r="K610" s="85" t="e">
        <v>#N/A</v>
      </c>
    </row>
    <row r="611" spans="1:11" ht="18" customHeight="1" x14ac:dyDescent="0.25">
      <c r="A611" s="5">
        <v>25749</v>
      </c>
      <c r="B611" s="79" t="e">
        <f>NA()</f>
        <v>#N/A</v>
      </c>
      <c r="C611" s="80" t="e">
        <v>#N/A</v>
      </c>
      <c r="D611" s="14">
        <f>51.1</f>
        <v>51.1</v>
      </c>
      <c r="E611" s="14">
        <f>19.4</f>
        <v>19.399999999999999</v>
      </c>
      <c r="F611" s="14">
        <f>9.1</f>
        <v>9.1</v>
      </c>
      <c r="G611" s="14">
        <f>15.2</f>
        <v>15.2</v>
      </c>
      <c r="H611" s="14" t="e">
        <f>NA()</f>
        <v>#N/A</v>
      </c>
      <c r="I611" s="86">
        <f>0</f>
        <v>0</v>
      </c>
      <c r="J611" s="87" t="e">
        <f>data비교작업!S614*100</f>
        <v>#N/A</v>
      </c>
      <c r="K611" s="85" t="e">
        <v>#N/A</v>
      </c>
    </row>
    <row r="612" spans="1:11" ht="18" customHeight="1" x14ac:dyDescent="0.25">
      <c r="A612" s="5">
        <v>25719</v>
      </c>
      <c r="B612" s="79" t="e">
        <f>NA()</f>
        <v>#N/A</v>
      </c>
      <c r="C612" s="80" t="e">
        <v>#N/A</v>
      </c>
      <c r="D612" s="14">
        <f>47.2</f>
        <v>47.2</v>
      </c>
      <c r="E612" s="14">
        <f>23</f>
        <v>23</v>
      </c>
      <c r="F612" s="14">
        <f>9.6</f>
        <v>9.6</v>
      </c>
      <c r="G612" s="14">
        <f>18</f>
        <v>18</v>
      </c>
      <c r="H612" s="14" t="e">
        <f>NA()</f>
        <v>#N/A</v>
      </c>
      <c r="I612" s="86">
        <f>0</f>
        <v>0</v>
      </c>
      <c r="J612" s="87" t="e">
        <f>data비교작업!S615*100</f>
        <v>#N/A</v>
      </c>
      <c r="K612" s="85" t="e">
        <v>#N/A</v>
      </c>
    </row>
    <row r="613" spans="1:11" ht="18" customHeight="1" x14ac:dyDescent="0.25">
      <c r="A613" s="5">
        <v>25688</v>
      </c>
      <c r="B613" s="79" t="e">
        <f>NA()</f>
        <v>#N/A</v>
      </c>
      <c r="C613" s="80" t="e">
        <v>#N/A</v>
      </c>
      <c r="D613" s="14">
        <f>45</f>
        <v>45</v>
      </c>
      <c r="E613" s="14">
        <f>39.8</f>
        <v>39.799999999999997</v>
      </c>
      <c r="F613" s="14">
        <f>9.8</f>
        <v>9.8000000000000007</v>
      </c>
      <c r="G613" s="14">
        <f>20</f>
        <v>20</v>
      </c>
      <c r="H613" s="14" t="e">
        <f>NA()</f>
        <v>#N/A</v>
      </c>
      <c r="I613" s="86">
        <f>0</f>
        <v>0</v>
      </c>
      <c r="J613" s="87" t="e">
        <f>data비교작업!S616*100</f>
        <v>#N/A</v>
      </c>
      <c r="K613" s="85" t="e">
        <v>#N/A</v>
      </c>
    </row>
    <row r="614" spans="1:11" ht="18" customHeight="1" x14ac:dyDescent="0.25">
      <c r="A614" s="5">
        <v>25658</v>
      </c>
      <c r="B614" s="79" t="e">
        <f>NA()</f>
        <v>#N/A</v>
      </c>
      <c r="C614" s="80" t="e">
        <v>#N/A</v>
      </c>
      <c r="D614" s="14">
        <f>46.9</f>
        <v>46.9</v>
      </c>
      <c r="E614" s="14">
        <f>54.4</f>
        <v>54.4</v>
      </c>
      <c r="F614" s="14">
        <f>8.9</f>
        <v>8.9</v>
      </c>
      <c r="G614" s="14">
        <f>18.1</f>
        <v>18.100000000000001</v>
      </c>
      <c r="H614" s="14" t="e">
        <f>NA()</f>
        <v>#N/A</v>
      </c>
      <c r="I614" s="86">
        <f>0</f>
        <v>0</v>
      </c>
      <c r="J614" s="87" t="e">
        <f>data비교작업!S617*100</f>
        <v>#N/A</v>
      </c>
      <c r="K614" s="85" t="e">
        <v>#N/A</v>
      </c>
    </row>
    <row r="615" spans="1:11" ht="18" customHeight="1" x14ac:dyDescent="0.25">
      <c r="A615" s="5">
        <v>25627</v>
      </c>
      <c r="B615" s="79" t="e">
        <f>NA()</f>
        <v>#N/A</v>
      </c>
      <c r="C615" s="80" t="e">
        <v>#N/A</v>
      </c>
      <c r="D615" s="14">
        <f>47.4</f>
        <v>47.4</v>
      </c>
      <c r="E615" s="14">
        <f>50.1</f>
        <v>50.1</v>
      </c>
      <c r="F615" s="14">
        <f>8.2</f>
        <v>8.1999999999999993</v>
      </c>
      <c r="G615" s="14">
        <f>16.5</f>
        <v>16.5</v>
      </c>
      <c r="H615" s="14" t="e">
        <f>NA()</f>
        <v>#N/A</v>
      </c>
      <c r="I615" s="86">
        <f>0</f>
        <v>0</v>
      </c>
      <c r="J615" s="87" t="e">
        <f>data비교작업!S618*100</f>
        <v>#N/A</v>
      </c>
      <c r="K615" s="85" t="e">
        <v>#N/A</v>
      </c>
    </row>
    <row r="616" spans="1:11" ht="18" customHeight="1" x14ac:dyDescent="0.25">
      <c r="A616" s="5">
        <v>25599</v>
      </c>
      <c r="B616" s="79" t="e">
        <f>NA()</f>
        <v>#N/A</v>
      </c>
      <c r="C616" s="80" t="e">
        <v>#N/A</v>
      </c>
      <c r="D616" s="14">
        <f>48.7</f>
        <v>48.7</v>
      </c>
      <c r="E616" s="14">
        <f>46.3</f>
        <v>46.3</v>
      </c>
      <c r="F616" s="14">
        <f>8.3</f>
        <v>8.3000000000000007</v>
      </c>
      <c r="G616" s="14">
        <f>14.9</f>
        <v>14.9</v>
      </c>
      <c r="H616" s="14" t="e">
        <f>NA()</f>
        <v>#N/A</v>
      </c>
      <c r="I616" s="86">
        <f>0</f>
        <v>0</v>
      </c>
      <c r="J616" s="87" t="e">
        <f>data비교작업!S619*100</f>
        <v>#N/A</v>
      </c>
      <c r="K616" s="85" t="e">
        <v>#N/A</v>
      </c>
    </row>
    <row r="617" spans="1:11" ht="18" customHeight="1" x14ac:dyDescent="0.25">
      <c r="A617" s="5">
        <v>25568</v>
      </c>
      <c r="B617" s="79" t="e">
        <f>NA()</f>
        <v>#N/A</v>
      </c>
      <c r="C617" s="80" t="e">
        <v>#N/A</v>
      </c>
      <c r="D617" s="14">
        <f>52</f>
        <v>52</v>
      </c>
      <c r="E617" s="14">
        <f>47.7</f>
        <v>47.7</v>
      </c>
      <c r="F617" s="14">
        <f>7.6</f>
        <v>7.6</v>
      </c>
      <c r="G617" s="14">
        <f>16.3</f>
        <v>16.3</v>
      </c>
      <c r="H617" s="14" t="e">
        <f>NA()</f>
        <v>#N/A</v>
      </c>
      <c r="I617" s="86" t="e">
        <f>NA()</f>
        <v>#N/A</v>
      </c>
      <c r="J617" s="87" t="e">
        <f>data비교작업!S620*100</f>
        <v>#N/A</v>
      </c>
      <c r="K617" s="85" t="e">
        <v>#N/A</v>
      </c>
    </row>
    <row r="618" spans="1:11" ht="18" customHeight="1" x14ac:dyDescent="0.25">
      <c r="A618" s="5">
        <v>25537</v>
      </c>
      <c r="B618" s="79" t="e">
        <f>NA()</f>
        <v>#N/A</v>
      </c>
      <c r="C618" s="80" t="e">
        <v>#N/A</v>
      </c>
      <c r="D618" s="14">
        <f>53.2</f>
        <v>53.2</v>
      </c>
      <c r="E618" s="14">
        <f>37.6</f>
        <v>37.6</v>
      </c>
      <c r="F618" s="14">
        <f>5.5</f>
        <v>5.5</v>
      </c>
      <c r="G618" s="14">
        <f>13.1</f>
        <v>13.1</v>
      </c>
      <c r="H618" s="14" t="e">
        <f>NA()</f>
        <v>#N/A</v>
      </c>
      <c r="I618" s="86" t="e">
        <f>NA()</f>
        <v>#N/A</v>
      </c>
      <c r="J618" s="87" t="e">
        <f>data비교작업!S621*100</f>
        <v>#N/A</v>
      </c>
      <c r="K618" s="85" t="e">
        <v>#N/A</v>
      </c>
    </row>
    <row r="619" spans="1:11" ht="18" customHeight="1" x14ac:dyDescent="0.25">
      <c r="A619" s="5">
        <v>25507</v>
      </c>
      <c r="B619" s="79" t="e">
        <f>NA()</f>
        <v>#N/A</v>
      </c>
      <c r="C619" s="80" t="e">
        <v>#N/A</v>
      </c>
      <c r="D619" s="14">
        <f>54.6</f>
        <v>54.6</v>
      </c>
      <c r="E619" s="14">
        <f>32.7</f>
        <v>32.700000000000003</v>
      </c>
      <c r="F619" s="14">
        <f>6.5</f>
        <v>6.5</v>
      </c>
      <c r="G619" s="14">
        <f>14.4</f>
        <v>14.4</v>
      </c>
      <c r="H619" s="14" t="e">
        <f>NA()</f>
        <v>#N/A</v>
      </c>
      <c r="I619" s="86" t="e">
        <f>NA()</f>
        <v>#N/A</v>
      </c>
      <c r="J619" s="87" t="e">
        <f>data비교작업!S622*100</f>
        <v>#N/A</v>
      </c>
      <c r="K619" s="85" t="e">
        <v>#N/A</v>
      </c>
    </row>
    <row r="620" spans="1:11" ht="18" customHeight="1" x14ac:dyDescent="0.25">
      <c r="A620" s="5">
        <v>25476</v>
      </c>
      <c r="B620" s="79" t="e">
        <f>NA()</f>
        <v>#N/A</v>
      </c>
      <c r="C620" s="80" t="e">
        <v>#N/A</v>
      </c>
      <c r="D620" s="14">
        <f>54.1</f>
        <v>54.1</v>
      </c>
      <c r="E620" s="14">
        <f>23.3</f>
        <v>23.3</v>
      </c>
      <c r="F620" s="14">
        <f>7.4</f>
        <v>7.4</v>
      </c>
      <c r="G620" s="14">
        <f>14.5</f>
        <v>14.5</v>
      </c>
      <c r="H620" s="14" t="e">
        <f>NA()</f>
        <v>#N/A</v>
      </c>
      <c r="I620" s="86" t="e">
        <f>NA()</f>
        <v>#N/A</v>
      </c>
      <c r="J620" s="87" t="e">
        <f>data비교작업!S623*100</f>
        <v>#N/A</v>
      </c>
      <c r="K620" s="85" t="e">
        <v>#N/A</v>
      </c>
    </row>
    <row r="621" spans="1:11" ht="18" customHeight="1" x14ac:dyDescent="0.25">
      <c r="A621" s="5">
        <v>25446</v>
      </c>
      <c r="B621" s="79" t="e">
        <f>NA()</f>
        <v>#N/A</v>
      </c>
      <c r="C621" s="80" t="e">
        <v>#N/A</v>
      </c>
      <c r="D621" s="14">
        <f>54.8</f>
        <v>54.8</v>
      </c>
      <c r="E621" s="14">
        <f>35.4</f>
        <v>35.4</v>
      </c>
      <c r="F621" s="14">
        <f>6.6</f>
        <v>6.6</v>
      </c>
      <c r="G621" s="14">
        <f>11.4</f>
        <v>11.4</v>
      </c>
      <c r="H621" s="14" t="e">
        <f>NA()</f>
        <v>#N/A</v>
      </c>
      <c r="I621" s="86" t="e">
        <f>NA()</f>
        <v>#N/A</v>
      </c>
      <c r="J621" s="87" t="e">
        <f>data비교작업!S624*100</f>
        <v>#N/A</v>
      </c>
      <c r="K621" s="85" t="e">
        <v>#N/A</v>
      </c>
    </row>
    <row r="622" spans="1:11" ht="18" customHeight="1" x14ac:dyDescent="0.25">
      <c r="A622" s="5">
        <v>25415</v>
      </c>
      <c r="B622" s="79" t="e">
        <f>NA()</f>
        <v>#N/A</v>
      </c>
      <c r="C622" s="80" t="e">
        <v>#N/A</v>
      </c>
      <c r="D622" s="14">
        <f>53.1</f>
        <v>53.1</v>
      </c>
      <c r="E622" s="14">
        <f>44.4</f>
        <v>44.4</v>
      </c>
      <c r="F622" s="14">
        <f>6.8</f>
        <v>6.8</v>
      </c>
      <c r="G622" s="14">
        <f>11.6</f>
        <v>11.6</v>
      </c>
      <c r="H622" s="14" t="e">
        <f>NA()</f>
        <v>#N/A</v>
      </c>
      <c r="I622" s="86" t="e">
        <f>NA()</f>
        <v>#N/A</v>
      </c>
      <c r="J622" s="87" t="e">
        <f>data비교작업!S625*100</f>
        <v>#N/A</v>
      </c>
      <c r="K622" s="85" t="e">
        <v>#N/A</v>
      </c>
    </row>
    <row r="623" spans="1:11" ht="18" customHeight="1" x14ac:dyDescent="0.25">
      <c r="A623" s="5">
        <v>25384</v>
      </c>
      <c r="B623" s="79" t="e">
        <f>NA()</f>
        <v>#N/A</v>
      </c>
      <c r="C623" s="80" t="e">
        <v>#N/A</v>
      </c>
      <c r="D623" s="14">
        <f>55.5</f>
        <v>55.5</v>
      </c>
      <c r="E623" s="14">
        <f>43.4</f>
        <v>43.4</v>
      </c>
      <c r="F623" s="14">
        <f>6.8</f>
        <v>6.8</v>
      </c>
      <c r="G623" s="14">
        <f>11.5</f>
        <v>11.5</v>
      </c>
      <c r="H623" s="14" t="e">
        <f>NA()</f>
        <v>#N/A</v>
      </c>
      <c r="I623" s="86" t="e">
        <f>NA()</f>
        <v>#N/A</v>
      </c>
      <c r="J623" s="87" t="e">
        <f>data비교작업!S626*100</f>
        <v>#N/A</v>
      </c>
      <c r="K623" s="85" t="e">
        <v>#N/A</v>
      </c>
    </row>
    <row r="624" spans="1:11" ht="18" customHeight="1" x14ac:dyDescent="0.25">
      <c r="A624" s="5">
        <v>25354</v>
      </c>
      <c r="B624" s="79" t="e">
        <f>NA()</f>
        <v>#N/A</v>
      </c>
      <c r="C624" s="80" t="e">
        <v>#N/A</v>
      </c>
      <c r="D624" s="14">
        <f>56.7</f>
        <v>56.7</v>
      </c>
      <c r="E624" s="14">
        <f>55.5</f>
        <v>55.5</v>
      </c>
      <c r="F624" s="14">
        <f>6.7</f>
        <v>6.7</v>
      </c>
      <c r="G624" s="14">
        <f>11.6</f>
        <v>11.6</v>
      </c>
      <c r="H624" s="14" t="e">
        <f>NA()</f>
        <v>#N/A</v>
      </c>
      <c r="I624" s="86" t="e">
        <f>NA()</f>
        <v>#N/A</v>
      </c>
      <c r="J624" s="87" t="e">
        <f>data비교작업!S627*100</f>
        <v>#N/A</v>
      </c>
      <c r="K624" s="85" t="e">
        <v>#N/A</v>
      </c>
    </row>
    <row r="625" spans="1:11" ht="18" customHeight="1" x14ac:dyDescent="0.25">
      <c r="A625" s="5">
        <v>25323</v>
      </c>
      <c r="B625" s="79" t="e">
        <f>NA()</f>
        <v>#N/A</v>
      </c>
      <c r="C625" s="80" t="e">
        <v>#N/A</v>
      </c>
      <c r="D625" s="14">
        <f>55.2</f>
        <v>55.2</v>
      </c>
      <c r="E625" s="14">
        <f>19.1</f>
        <v>19.100000000000001</v>
      </c>
      <c r="F625" s="14">
        <f>6.4</f>
        <v>6.4</v>
      </c>
      <c r="G625" s="14">
        <f>11.1</f>
        <v>11.1</v>
      </c>
      <c r="H625" s="14" t="e">
        <f>NA()</f>
        <v>#N/A</v>
      </c>
      <c r="I625" s="86" t="e">
        <f>NA()</f>
        <v>#N/A</v>
      </c>
      <c r="J625" s="87" t="e">
        <f>data비교작업!S628*100</f>
        <v>#N/A</v>
      </c>
      <c r="K625" s="85" t="e">
        <v>#N/A</v>
      </c>
    </row>
    <row r="626" spans="1:11" ht="18" customHeight="1" x14ac:dyDescent="0.25">
      <c r="A626" s="5">
        <v>25293</v>
      </c>
      <c r="B626" s="79" t="e">
        <f>NA()</f>
        <v>#N/A</v>
      </c>
      <c r="C626" s="80" t="e">
        <v>#N/A</v>
      </c>
      <c r="D626" s="14">
        <f>57.1</f>
        <v>57.1</v>
      </c>
      <c r="E626" s="14">
        <f>33.9</f>
        <v>33.9</v>
      </c>
      <c r="F626" s="14">
        <f>6.4</f>
        <v>6.4</v>
      </c>
      <c r="G626" s="14">
        <f>10.4</f>
        <v>10.4</v>
      </c>
      <c r="H626" s="14" t="e">
        <f>NA()</f>
        <v>#N/A</v>
      </c>
      <c r="I626" s="86" t="e">
        <f>NA()</f>
        <v>#N/A</v>
      </c>
      <c r="J626" s="87" t="e">
        <f>data비교작업!S629*100</f>
        <v>#N/A</v>
      </c>
      <c r="K626" s="85" t="e">
        <v>#N/A</v>
      </c>
    </row>
    <row r="627" spans="1:11" ht="18" customHeight="1" x14ac:dyDescent="0.25">
      <c r="A627" s="5">
        <v>25262</v>
      </c>
      <c r="B627" s="79" t="e">
        <f>NA()</f>
        <v>#N/A</v>
      </c>
      <c r="C627" s="80" t="e">
        <v>#N/A</v>
      </c>
      <c r="D627" s="14">
        <f>57</f>
        <v>57</v>
      </c>
      <c r="E627" s="14">
        <f>22.6</f>
        <v>22.6</v>
      </c>
      <c r="F627" s="14">
        <f>6.8</f>
        <v>6.8</v>
      </c>
      <c r="G627" s="14">
        <f>10.7</f>
        <v>10.7</v>
      </c>
      <c r="H627" s="14" t="e">
        <f>NA()</f>
        <v>#N/A</v>
      </c>
      <c r="I627" s="86" t="e">
        <f>NA()</f>
        <v>#N/A</v>
      </c>
      <c r="J627" s="87" t="e">
        <f>data비교작업!S630*100</f>
        <v>#N/A</v>
      </c>
      <c r="K627" s="85" t="e">
        <v>#N/A</v>
      </c>
    </row>
    <row r="628" spans="1:11" ht="18" customHeight="1" x14ac:dyDescent="0.25">
      <c r="A628" s="5">
        <v>25234</v>
      </c>
      <c r="B628" s="79" t="e">
        <f>NA()</f>
        <v>#N/A</v>
      </c>
      <c r="C628" s="80" t="e">
        <v>#N/A</v>
      </c>
      <c r="D628" s="14">
        <f>54.9</f>
        <v>54.9</v>
      </c>
      <c r="E628" s="14">
        <f>34.6</f>
        <v>34.6</v>
      </c>
      <c r="F628" s="14">
        <f>7.3</f>
        <v>7.3</v>
      </c>
      <c r="G628" s="14">
        <f>11.7</f>
        <v>11.7</v>
      </c>
      <c r="H628" s="14" t="e">
        <f>NA()</f>
        <v>#N/A</v>
      </c>
      <c r="I628" s="86" t="e">
        <f>NA()</f>
        <v>#N/A</v>
      </c>
      <c r="J628" s="87" t="e">
        <f>data비교작업!S631*100</f>
        <v>#N/A</v>
      </c>
      <c r="K628" s="85" t="e">
        <v>#N/A</v>
      </c>
    </row>
    <row r="629" spans="1:11" ht="18" customHeight="1" x14ac:dyDescent="0.25">
      <c r="A629" s="5">
        <v>25203</v>
      </c>
      <c r="B629" s="79" t="e">
        <f>NA()</f>
        <v>#N/A</v>
      </c>
      <c r="C629" s="80" t="e">
        <v>#N/A</v>
      </c>
      <c r="D629" s="14">
        <f>56.1</f>
        <v>56.1</v>
      </c>
      <c r="E629" s="14">
        <f>39.2</f>
        <v>39.200000000000003</v>
      </c>
      <c r="F629" s="14">
        <f>7.3</f>
        <v>7.3</v>
      </c>
      <c r="G629" s="14">
        <f>11</f>
        <v>11</v>
      </c>
      <c r="H629" s="14" t="e">
        <f>NA()</f>
        <v>#N/A</v>
      </c>
      <c r="I629" s="86" t="e">
        <f>NA()</f>
        <v>#N/A</v>
      </c>
      <c r="J629" s="87" t="e">
        <f>data비교작업!S632*100</f>
        <v>#N/A</v>
      </c>
      <c r="K629" s="85" t="e">
        <v>#N/A</v>
      </c>
    </row>
    <row r="630" spans="1:11" ht="18" customHeight="1" x14ac:dyDescent="0.25">
      <c r="A630" s="5">
        <v>25172</v>
      </c>
      <c r="B630" s="79" t="e">
        <f>NA()</f>
        <v>#N/A</v>
      </c>
      <c r="C630" s="80" t="e">
        <v>#N/A</v>
      </c>
      <c r="D630" s="14">
        <f>58.1</f>
        <v>58.1</v>
      </c>
      <c r="E630" s="14">
        <f>30.8</f>
        <v>30.8</v>
      </c>
      <c r="F630" s="14">
        <f>8.4</f>
        <v>8.4</v>
      </c>
      <c r="G630" s="14">
        <f>11.6</f>
        <v>11.6</v>
      </c>
      <c r="H630" s="14" t="e">
        <f>NA()</f>
        <v>#N/A</v>
      </c>
      <c r="I630" s="86" t="e">
        <f>NA()</f>
        <v>#N/A</v>
      </c>
      <c r="J630" s="87" t="e">
        <f>data비교작업!S633*100</f>
        <v>#N/A</v>
      </c>
      <c r="K630" s="85" t="e">
        <v>#N/A</v>
      </c>
    </row>
    <row r="631" spans="1:11" ht="18" customHeight="1" x14ac:dyDescent="0.25">
      <c r="A631" s="5">
        <v>25142</v>
      </c>
      <c r="B631" s="79" t="e">
        <f>NA()</f>
        <v>#N/A</v>
      </c>
      <c r="C631" s="80" t="e">
        <v>#N/A</v>
      </c>
      <c r="D631" s="14">
        <f>55.8</f>
        <v>55.8</v>
      </c>
      <c r="E631" s="14">
        <f>17.3</f>
        <v>17.3</v>
      </c>
      <c r="F631" s="14">
        <f>7.7</f>
        <v>7.7</v>
      </c>
      <c r="G631" s="14">
        <f>9.8</f>
        <v>9.8000000000000007</v>
      </c>
      <c r="H631" s="14" t="e">
        <f>NA()</f>
        <v>#N/A</v>
      </c>
      <c r="I631" s="86" t="e">
        <f>NA()</f>
        <v>#N/A</v>
      </c>
      <c r="J631" s="87" t="e">
        <f>data비교작업!S634*100</f>
        <v>#N/A</v>
      </c>
      <c r="K631" s="85" t="e">
        <v>#N/A</v>
      </c>
    </row>
    <row r="632" spans="1:11" ht="18" customHeight="1" x14ac:dyDescent="0.25">
      <c r="A632" s="5">
        <v>25111</v>
      </c>
      <c r="B632" s="79" t="e">
        <f>NA()</f>
        <v>#N/A</v>
      </c>
      <c r="C632" s="80" t="e">
        <v>#N/A</v>
      </c>
      <c r="D632" s="14">
        <f>51.8</f>
        <v>51.8</v>
      </c>
      <c r="E632" s="14">
        <f>62.2</f>
        <v>62.2</v>
      </c>
      <c r="F632" s="14">
        <f>6.2</f>
        <v>6.2</v>
      </c>
      <c r="G632" s="14">
        <f>8.6</f>
        <v>8.6</v>
      </c>
      <c r="H632" s="14" t="e">
        <f>NA()</f>
        <v>#N/A</v>
      </c>
      <c r="I632" s="86" t="e">
        <f>NA()</f>
        <v>#N/A</v>
      </c>
      <c r="J632" s="87" t="e">
        <f>data비교작업!S635*100</f>
        <v>#N/A</v>
      </c>
      <c r="K632" s="85" t="e">
        <v>#N/A</v>
      </c>
    </row>
    <row r="633" spans="1:11" ht="18" customHeight="1" x14ac:dyDescent="0.25">
      <c r="A633" s="5">
        <v>25081</v>
      </c>
      <c r="B633" s="79" t="e">
        <f>NA()</f>
        <v>#N/A</v>
      </c>
      <c r="C633" s="80" t="e">
        <v>#N/A</v>
      </c>
      <c r="D633" s="14">
        <f>52.7</f>
        <v>52.7</v>
      </c>
      <c r="E633" s="14">
        <f>42.5</f>
        <v>42.5</v>
      </c>
      <c r="F633" s="14">
        <f>6.9</f>
        <v>6.9</v>
      </c>
      <c r="G633" s="14">
        <f>9.8</f>
        <v>9.8000000000000007</v>
      </c>
      <c r="H633" s="14" t="e">
        <f>NA()</f>
        <v>#N/A</v>
      </c>
      <c r="I633" s="86" t="e">
        <f>NA()</f>
        <v>#N/A</v>
      </c>
      <c r="J633" s="87" t="e">
        <f>data비교작업!S636*100</f>
        <v>#N/A</v>
      </c>
      <c r="K633" s="85" t="e">
        <v>#N/A</v>
      </c>
    </row>
    <row r="634" spans="1:11" ht="18" customHeight="1" x14ac:dyDescent="0.25">
      <c r="A634" s="5">
        <v>25050</v>
      </c>
      <c r="B634" s="79" t="e">
        <f>NA()</f>
        <v>#N/A</v>
      </c>
      <c r="C634" s="80" t="e">
        <v>#N/A</v>
      </c>
      <c r="D634" s="14">
        <f>54.1</f>
        <v>54.1</v>
      </c>
      <c r="E634" s="14">
        <f>59.5</f>
        <v>59.5</v>
      </c>
      <c r="F634" s="14">
        <f>7.5</f>
        <v>7.5</v>
      </c>
      <c r="G634" s="14">
        <f>10.4</f>
        <v>10.4</v>
      </c>
      <c r="H634" s="14" t="e">
        <f>NA()</f>
        <v>#N/A</v>
      </c>
      <c r="I634" s="86" t="e">
        <f>NA()</f>
        <v>#N/A</v>
      </c>
      <c r="J634" s="87" t="e">
        <f>data비교작업!S637*100</f>
        <v>#N/A</v>
      </c>
      <c r="K634" s="85" t="e">
        <v>#N/A</v>
      </c>
    </row>
    <row r="635" spans="1:11" ht="18" customHeight="1" x14ac:dyDescent="0.25">
      <c r="A635" s="5">
        <v>25019</v>
      </c>
      <c r="B635" s="79" t="e">
        <f>NA()</f>
        <v>#N/A</v>
      </c>
      <c r="C635" s="80" t="e">
        <v>#N/A</v>
      </c>
      <c r="D635" s="14">
        <f>53.5</f>
        <v>53.5</v>
      </c>
      <c r="E635" s="14">
        <f>47.8</f>
        <v>47.8</v>
      </c>
      <c r="F635" s="14">
        <f>7.6</f>
        <v>7.6</v>
      </c>
      <c r="G635" s="14">
        <f>10.6</f>
        <v>10.6</v>
      </c>
      <c r="H635" s="14" t="e">
        <f>NA()</f>
        <v>#N/A</v>
      </c>
      <c r="I635" s="86" t="e">
        <f>NA()</f>
        <v>#N/A</v>
      </c>
      <c r="J635" s="87" t="e">
        <f>data비교작업!S638*100</f>
        <v>#N/A</v>
      </c>
      <c r="K635" s="85" t="e">
        <v>#N/A</v>
      </c>
    </row>
    <row r="636" spans="1:11" ht="18" customHeight="1" x14ac:dyDescent="0.25">
      <c r="A636" s="5">
        <v>24989</v>
      </c>
      <c r="B636" s="79" t="e">
        <f>NA()</f>
        <v>#N/A</v>
      </c>
      <c r="C636" s="80" t="e">
        <v>#N/A</v>
      </c>
      <c r="D636" s="14">
        <f>55.3</f>
        <v>55.3</v>
      </c>
      <c r="E636" s="14">
        <f>42.4</f>
        <v>42.4</v>
      </c>
      <c r="F636" s="14">
        <f>7.7</f>
        <v>7.7</v>
      </c>
      <c r="G636" s="14">
        <f>9</f>
        <v>9</v>
      </c>
      <c r="H636" s="14" t="e">
        <f>NA()</f>
        <v>#N/A</v>
      </c>
      <c r="I636" s="86" t="e">
        <f>NA()</f>
        <v>#N/A</v>
      </c>
      <c r="J636" s="87" t="e">
        <f>data비교작업!S639*100</f>
        <v>#N/A</v>
      </c>
      <c r="K636" s="85" t="e">
        <v>#N/A</v>
      </c>
    </row>
    <row r="637" spans="1:11" ht="18" customHeight="1" x14ac:dyDescent="0.25">
      <c r="A637" s="5">
        <v>24958</v>
      </c>
      <c r="B637" s="79" t="e">
        <f>NA()</f>
        <v>#N/A</v>
      </c>
      <c r="C637" s="80" t="e">
        <v>#N/A</v>
      </c>
      <c r="D637" s="14">
        <f>58</f>
        <v>58</v>
      </c>
      <c r="E637" s="14">
        <f>64.7</f>
        <v>64.7</v>
      </c>
      <c r="F637" s="14">
        <f>8.8</f>
        <v>8.8000000000000007</v>
      </c>
      <c r="G637" s="14">
        <f>9.8</f>
        <v>9.8000000000000007</v>
      </c>
      <c r="H637" s="14" t="e">
        <f>NA()</f>
        <v>#N/A</v>
      </c>
      <c r="I637" s="86" t="e">
        <f>NA()</f>
        <v>#N/A</v>
      </c>
      <c r="J637" s="87" t="e">
        <f>data비교작업!S640*100</f>
        <v>#N/A</v>
      </c>
      <c r="K637" s="85" t="e">
        <v>#N/A</v>
      </c>
    </row>
    <row r="638" spans="1:11" ht="18" customHeight="1" x14ac:dyDescent="0.25">
      <c r="A638" s="5">
        <v>24928</v>
      </c>
      <c r="B638" s="79" t="e">
        <f>NA()</f>
        <v>#N/A</v>
      </c>
      <c r="C638" s="80" t="e">
        <v>#N/A</v>
      </c>
      <c r="D638" s="14">
        <f>53.8</f>
        <v>53.8</v>
      </c>
      <c r="E638" s="14">
        <f>32</f>
        <v>32</v>
      </c>
      <c r="F638" s="14">
        <f>10.5</f>
        <v>10.5</v>
      </c>
      <c r="G638" s="14">
        <f>12.8</f>
        <v>12.8</v>
      </c>
      <c r="H638" s="14" t="e">
        <f>NA()</f>
        <v>#N/A</v>
      </c>
      <c r="I638" s="86" t="e">
        <f>NA()</f>
        <v>#N/A</v>
      </c>
      <c r="J638" s="87" t="e">
        <f>data비교작업!S641*100</f>
        <v>#N/A</v>
      </c>
      <c r="K638" s="85" t="e">
        <v>#N/A</v>
      </c>
    </row>
    <row r="639" spans="1:11" ht="18" customHeight="1" x14ac:dyDescent="0.25">
      <c r="A639" s="5">
        <v>24897</v>
      </c>
      <c r="B639" s="79" t="e">
        <f>NA()</f>
        <v>#N/A</v>
      </c>
      <c r="C639" s="80" t="e">
        <v>#N/A</v>
      </c>
      <c r="D639" s="14">
        <f>55</f>
        <v>55</v>
      </c>
      <c r="E639" s="14">
        <f>33.8</f>
        <v>33.799999999999997</v>
      </c>
      <c r="F639" s="14">
        <f>10.4</f>
        <v>10.4</v>
      </c>
      <c r="G639" s="14">
        <f>13.2</f>
        <v>13.2</v>
      </c>
      <c r="H639" s="14" t="e">
        <f>NA()</f>
        <v>#N/A</v>
      </c>
      <c r="I639" s="86" t="e">
        <f>NA()</f>
        <v>#N/A</v>
      </c>
      <c r="J639" s="87" t="e">
        <f>data비교작업!S642*100</f>
        <v>#N/A</v>
      </c>
      <c r="K639" s="85" t="e">
        <v>#N/A</v>
      </c>
    </row>
    <row r="640" spans="1:11" ht="18" customHeight="1" x14ac:dyDescent="0.25">
      <c r="A640" s="5">
        <v>24868</v>
      </c>
      <c r="B640" s="79" t="e">
        <f>NA()</f>
        <v>#N/A</v>
      </c>
      <c r="C640" s="80" t="e">
        <v>#N/A</v>
      </c>
      <c r="D640" s="14">
        <f>56.6</f>
        <v>56.6</v>
      </c>
      <c r="E640" s="14">
        <f>47.2</f>
        <v>47.2</v>
      </c>
      <c r="F640" s="14">
        <f>9.4</f>
        <v>9.4</v>
      </c>
      <c r="G640" s="14">
        <f>13.1</f>
        <v>13.1</v>
      </c>
      <c r="H640" s="14" t="e">
        <f>NA()</f>
        <v>#N/A</v>
      </c>
      <c r="I640" s="86" t="e">
        <f>NA()</f>
        <v>#N/A</v>
      </c>
      <c r="J640" s="87" t="e">
        <f>data비교작업!S643*100</f>
        <v>#N/A</v>
      </c>
      <c r="K640" s="85" t="e">
        <v>#N/A</v>
      </c>
    </row>
    <row r="641" spans="1:11" ht="18" customHeight="1" x14ac:dyDescent="0.25">
      <c r="A641" s="5">
        <v>24837</v>
      </c>
      <c r="B641" s="79" t="e">
        <f>NA()</f>
        <v>#N/A</v>
      </c>
      <c r="C641" s="80" t="e">
        <v>#N/A</v>
      </c>
      <c r="D641" s="14">
        <f>55.6</f>
        <v>55.6</v>
      </c>
      <c r="E641" s="14">
        <f>30.8</f>
        <v>30.8</v>
      </c>
      <c r="F641" s="14">
        <f>7.1</f>
        <v>7.1</v>
      </c>
      <c r="G641" s="14">
        <f>11.6</f>
        <v>11.6</v>
      </c>
      <c r="H641" s="14" t="e">
        <f>NA()</f>
        <v>#N/A</v>
      </c>
      <c r="I641" s="86" t="e">
        <f>NA()</f>
        <v>#N/A</v>
      </c>
      <c r="J641" s="87" t="e">
        <f>data비교작업!S644*100</f>
        <v>#N/A</v>
      </c>
      <c r="K641" s="85" t="e">
        <v>#N/A</v>
      </c>
    </row>
    <row r="642" spans="1:11" ht="18" customHeight="1" x14ac:dyDescent="0.25">
      <c r="A642" s="5">
        <v>24806</v>
      </c>
      <c r="B642" s="79" t="e">
        <f>NA()</f>
        <v>#N/A</v>
      </c>
      <c r="C642" s="80" t="e">
        <v>#N/A</v>
      </c>
      <c r="D642" s="14">
        <f>54.2</f>
        <v>54.2</v>
      </c>
      <c r="E642" s="14">
        <f>51</f>
        <v>51</v>
      </c>
      <c r="F642" s="14">
        <f>7.3</f>
        <v>7.3</v>
      </c>
      <c r="G642" s="14">
        <f>11.7</f>
        <v>11.7</v>
      </c>
      <c r="H642" s="14" t="e">
        <f>NA()</f>
        <v>#N/A</v>
      </c>
      <c r="I642" s="86" t="e">
        <f>NA()</f>
        <v>#N/A</v>
      </c>
      <c r="J642" s="87" t="e">
        <f>data비교작업!S645*100</f>
        <v>#N/A</v>
      </c>
      <c r="K642" s="85" t="e">
        <v>#N/A</v>
      </c>
    </row>
    <row r="643" spans="1:11" ht="18" customHeight="1" x14ac:dyDescent="0.25">
      <c r="A643" s="5">
        <v>24776</v>
      </c>
      <c r="B643" s="79" t="e">
        <f>NA()</f>
        <v>#N/A</v>
      </c>
      <c r="C643" s="80" t="e">
        <v>#N/A</v>
      </c>
      <c r="D643" s="14">
        <f>54.1</f>
        <v>54.1</v>
      </c>
      <c r="E643" s="14">
        <f>78.1</f>
        <v>78.099999999999994</v>
      </c>
      <c r="F643" s="14">
        <f>5.9</f>
        <v>5.9</v>
      </c>
      <c r="G643" s="14">
        <f>8.2</f>
        <v>8.1999999999999993</v>
      </c>
      <c r="H643" s="14" t="e">
        <f>NA()</f>
        <v>#N/A</v>
      </c>
      <c r="I643" s="86" t="e">
        <f>NA()</f>
        <v>#N/A</v>
      </c>
      <c r="J643" s="87" t="e">
        <f>data비교작업!S646*100</f>
        <v>#N/A</v>
      </c>
      <c r="K643" s="85" t="e">
        <v>#N/A</v>
      </c>
    </row>
    <row r="644" spans="1:11" ht="18" customHeight="1" x14ac:dyDescent="0.25">
      <c r="A644" s="5">
        <v>24745</v>
      </c>
      <c r="B644" s="79" t="e">
        <f>NA()</f>
        <v>#N/A</v>
      </c>
      <c r="C644" s="80" t="e">
        <v>#N/A</v>
      </c>
      <c r="D644" s="14">
        <f>54.9</f>
        <v>54.9</v>
      </c>
      <c r="E644" s="14">
        <f>2.5</f>
        <v>2.5</v>
      </c>
      <c r="F644" s="14">
        <f>5.7</f>
        <v>5.7</v>
      </c>
      <c r="G644" s="14">
        <f>9.3</f>
        <v>9.3000000000000007</v>
      </c>
      <c r="H644" s="14" t="e">
        <f>NA()</f>
        <v>#N/A</v>
      </c>
      <c r="I644" s="86" t="e">
        <f>NA()</f>
        <v>#N/A</v>
      </c>
      <c r="J644" s="87" t="e">
        <f>data비교작업!S647*100</f>
        <v>#N/A</v>
      </c>
      <c r="K644" s="85" t="e">
        <v>#N/A</v>
      </c>
    </row>
    <row r="645" spans="1:11" ht="18" customHeight="1" x14ac:dyDescent="0.25">
      <c r="A645" s="5">
        <v>24715</v>
      </c>
      <c r="B645" s="79" t="e">
        <f>NA()</f>
        <v>#N/A</v>
      </c>
      <c r="C645" s="80" t="e">
        <v>#N/A</v>
      </c>
      <c r="D645" s="14">
        <f>52.2</f>
        <v>52.2</v>
      </c>
      <c r="E645" s="14">
        <f>38.1</f>
        <v>38.1</v>
      </c>
      <c r="F645" s="14">
        <f>5.2</f>
        <v>5.2</v>
      </c>
      <c r="G645" s="14">
        <f>9.6</f>
        <v>9.6</v>
      </c>
      <c r="H645" s="14" t="e">
        <f>NA()</f>
        <v>#N/A</v>
      </c>
      <c r="I645" s="86" t="e">
        <f>NA()</f>
        <v>#N/A</v>
      </c>
      <c r="J645" s="87" t="e">
        <f>data비교작업!S648*100</f>
        <v>#N/A</v>
      </c>
      <c r="K645" s="85" t="e">
        <v>#N/A</v>
      </c>
    </row>
    <row r="646" spans="1:11" ht="18" customHeight="1" x14ac:dyDescent="0.25">
      <c r="A646" s="5">
        <v>24684</v>
      </c>
      <c r="B646" s="79" t="e">
        <f>NA()</f>
        <v>#N/A</v>
      </c>
      <c r="C646" s="80" t="e">
        <v>#N/A</v>
      </c>
      <c r="D646" s="14">
        <f>49.5</f>
        <v>49.5</v>
      </c>
      <c r="E646" s="14">
        <f>21.7</f>
        <v>21.7</v>
      </c>
      <c r="F646" s="14">
        <f>5</f>
        <v>5</v>
      </c>
      <c r="G646" s="14">
        <f>10.5</f>
        <v>10.5</v>
      </c>
      <c r="H646" s="14" t="e">
        <f>NA()</f>
        <v>#N/A</v>
      </c>
      <c r="I646" s="86" t="e">
        <f>NA()</f>
        <v>#N/A</v>
      </c>
      <c r="J646" s="87" t="e">
        <f>data비교작업!S649*100</f>
        <v>#N/A</v>
      </c>
      <c r="K646" s="85" t="e">
        <v>#N/A</v>
      </c>
    </row>
    <row r="647" spans="1:11" ht="18" customHeight="1" x14ac:dyDescent="0.25">
      <c r="A647" s="5">
        <v>24653</v>
      </c>
      <c r="B647" s="79" t="e">
        <f>NA()</f>
        <v>#N/A</v>
      </c>
      <c r="C647" s="80" t="e">
        <v>#N/A</v>
      </c>
      <c r="D647" s="14">
        <f>46.8</f>
        <v>46.8</v>
      </c>
      <c r="E647" s="14">
        <f>21.6</f>
        <v>21.6</v>
      </c>
      <c r="F647" s="14">
        <f>5.2</f>
        <v>5.2</v>
      </c>
      <c r="G647" s="14">
        <f>9.8</f>
        <v>9.8000000000000007</v>
      </c>
      <c r="H647" s="14" t="e">
        <f>NA()</f>
        <v>#N/A</v>
      </c>
      <c r="I647" s="86" t="e">
        <f>NA()</f>
        <v>#N/A</v>
      </c>
      <c r="J647" s="87" t="e">
        <f>data비교작업!S650*100</f>
        <v>#N/A</v>
      </c>
      <c r="K647" s="85" t="e">
        <v>#N/A</v>
      </c>
    </row>
    <row r="648" spans="1:11" ht="18" customHeight="1" x14ac:dyDescent="0.25">
      <c r="A648" s="5">
        <v>24623</v>
      </c>
      <c r="B648" s="79" t="e">
        <f>NA()</f>
        <v>#N/A</v>
      </c>
      <c r="C648" s="80" t="e">
        <v>#N/A</v>
      </c>
      <c r="D648" s="14">
        <f>44.5</f>
        <v>44.5</v>
      </c>
      <c r="E648" s="14">
        <f>23.2</f>
        <v>23.2</v>
      </c>
      <c r="F648" s="14">
        <f>6.4</f>
        <v>6.4</v>
      </c>
      <c r="G648" s="14">
        <f>11.2</f>
        <v>11.2</v>
      </c>
      <c r="H648" s="14" t="e">
        <f>NA()</f>
        <v>#N/A</v>
      </c>
      <c r="I648" s="86" t="e">
        <f>NA()</f>
        <v>#N/A</v>
      </c>
      <c r="J648" s="87" t="e">
        <f>data비교작업!S651*100</f>
        <v>#N/A</v>
      </c>
      <c r="K648" s="85" t="e">
        <v>#N/A</v>
      </c>
    </row>
    <row r="649" spans="1:11" ht="18" customHeight="1" x14ac:dyDescent="0.25">
      <c r="A649" s="5">
        <v>24592</v>
      </c>
      <c r="B649" s="79" t="e">
        <f>NA()</f>
        <v>#N/A</v>
      </c>
      <c r="C649" s="80" t="e">
        <v>#N/A</v>
      </c>
      <c r="D649" s="14">
        <f>42.8</f>
        <v>42.8</v>
      </c>
      <c r="E649" s="14">
        <f>15.1</f>
        <v>15.1</v>
      </c>
      <c r="F649" s="14">
        <f>7.1</f>
        <v>7.1</v>
      </c>
      <c r="G649" s="14">
        <f>13.2</f>
        <v>13.2</v>
      </c>
      <c r="H649" s="14" t="e">
        <f>NA()</f>
        <v>#N/A</v>
      </c>
      <c r="I649" s="86" t="e">
        <f>NA()</f>
        <v>#N/A</v>
      </c>
      <c r="J649" s="87" t="e">
        <f>data비교작업!S652*100</f>
        <v>#N/A</v>
      </c>
      <c r="K649" s="85" t="e">
        <v>#N/A</v>
      </c>
    </row>
    <row r="650" spans="1:11" ht="18" customHeight="1" x14ac:dyDescent="0.25">
      <c r="A650" s="5">
        <v>24562</v>
      </c>
      <c r="B650" s="79" t="e">
        <f>NA()</f>
        <v>#N/A</v>
      </c>
      <c r="C650" s="80" t="e">
        <v>#N/A</v>
      </c>
      <c r="D650" s="14">
        <f>45.3</f>
        <v>45.3</v>
      </c>
      <c r="E650" s="14">
        <f>17.7</f>
        <v>17.7</v>
      </c>
      <c r="F650" s="14">
        <f>6.6</f>
        <v>6.6</v>
      </c>
      <c r="G650" s="14">
        <f>11.4</f>
        <v>11.4</v>
      </c>
      <c r="H650" s="14" t="e">
        <f>NA()</f>
        <v>#N/A</v>
      </c>
      <c r="I650" s="86" t="e">
        <f>NA()</f>
        <v>#N/A</v>
      </c>
      <c r="J650" s="87" t="e">
        <f>data비교작업!S653*100</f>
        <v>#N/A</v>
      </c>
      <c r="K650" s="85" t="e">
        <v>#N/A</v>
      </c>
    </row>
    <row r="651" spans="1:11" ht="18" customHeight="1" x14ac:dyDescent="0.25">
      <c r="A651" s="5">
        <v>24531</v>
      </c>
      <c r="B651" s="79" t="e">
        <f>NA()</f>
        <v>#N/A</v>
      </c>
      <c r="C651" s="80" t="e">
        <v>#N/A</v>
      </c>
      <c r="D651" s="14">
        <f>47.6</f>
        <v>47.6</v>
      </c>
      <c r="E651" s="14">
        <f>21.3</f>
        <v>21.3</v>
      </c>
      <c r="F651" s="14">
        <f>6.7</f>
        <v>6.7</v>
      </c>
      <c r="G651" s="14">
        <f>11.6</f>
        <v>11.6</v>
      </c>
      <c r="H651" s="14" t="e">
        <f>NA()</f>
        <v>#N/A</v>
      </c>
      <c r="I651" s="86" t="e">
        <f>NA()</f>
        <v>#N/A</v>
      </c>
      <c r="J651" s="87" t="e">
        <f>data비교작업!S654*100</f>
        <v>#N/A</v>
      </c>
      <c r="K651" s="85" t="e">
        <v>#N/A</v>
      </c>
    </row>
    <row r="652" spans="1:11" ht="18" customHeight="1" x14ac:dyDescent="0.25">
      <c r="A652" s="5">
        <v>24503</v>
      </c>
      <c r="B652" s="79" t="e">
        <f>NA()</f>
        <v>#N/A</v>
      </c>
      <c r="C652" s="80" t="e">
        <v>#N/A</v>
      </c>
      <c r="D652" s="14">
        <f>49.1</f>
        <v>49.1</v>
      </c>
      <c r="E652" s="14">
        <f>19.4</f>
        <v>19.399999999999999</v>
      </c>
      <c r="F652" s="14">
        <f>7.5</f>
        <v>7.5</v>
      </c>
      <c r="G652" s="14">
        <f>13.2</f>
        <v>13.2</v>
      </c>
      <c r="H652" s="14" t="e">
        <f>NA()</f>
        <v>#N/A</v>
      </c>
      <c r="I652" s="86" t="e">
        <f>NA()</f>
        <v>#N/A</v>
      </c>
      <c r="J652" s="87" t="e">
        <f>data비교작업!S655*100</f>
        <v>#N/A</v>
      </c>
      <c r="K652" s="85" t="e">
        <v>#N/A</v>
      </c>
    </row>
    <row r="653" spans="1:11" ht="18" customHeight="1" x14ac:dyDescent="0.25">
      <c r="A653" s="5">
        <v>24472</v>
      </c>
      <c r="B653" s="79" t="e">
        <f>NA()</f>
        <v>#N/A</v>
      </c>
      <c r="C653" s="80" t="e">
        <v>#N/A</v>
      </c>
      <c r="D653" s="14">
        <f>52.4</f>
        <v>52.4</v>
      </c>
      <c r="E653" s="14" t="e">
        <f>NA()</f>
        <v>#N/A</v>
      </c>
      <c r="F653" s="14">
        <f>8.9</f>
        <v>8.9</v>
      </c>
      <c r="G653" s="14">
        <f>15.2</f>
        <v>15.2</v>
      </c>
      <c r="H653" s="14" t="e">
        <f>NA()</f>
        <v>#N/A</v>
      </c>
      <c r="I653" s="86" t="e">
        <f>NA()</f>
        <v>#N/A</v>
      </c>
      <c r="J653" s="87" t="e">
        <f>data비교작업!S656*100</f>
        <v>#N/A</v>
      </c>
      <c r="K653" s="85" t="e">
        <v>#N/A</v>
      </c>
    </row>
    <row r="654" spans="1:11" ht="18" customHeight="1" x14ac:dyDescent="0.25">
      <c r="A654" s="5">
        <v>24441</v>
      </c>
      <c r="B654" s="79" t="e">
        <f>NA()</f>
        <v>#N/A</v>
      </c>
      <c r="C654" s="80" t="e">
        <v>#N/A</v>
      </c>
      <c r="D654" s="14">
        <f>53.7</f>
        <v>53.7</v>
      </c>
      <c r="E654" s="14" t="e">
        <f>NA()</f>
        <v>#N/A</v>
      </c>
      <c r="F654" s="14">
        <f>9.3</f>
        <v>9.3000000000000007</v>
      </c>
      <c r="G654" s="14">
        <f>15.5</f>
        <v>15.5</v>
      </c>
      <c r="H654" s="14" t="e">
        <f>NA()</f>
        <v>#N/A</v>
      </c>
      <c r="I654" s="86" t="e">
        <f>NA()</f>
        <v>#N/A</v>
      </c>
      <c r="J654" s="87" t="e">
        <f>data비교작업!S657*100</f>
        <v>#N/A</v>
      </c>
      <c r="K654" s="85" t="e">
        <v>#N/A</v>
      </c>
    </row>
    <row r="655" spans="1:11" ht="18" customHeight="1" x14ac:dyDescent="0.25">
      <c r="A655" s="5">
        <v>24411</v>
      </c>
      <c r="B655" s="79" t="e">
        <f>NA()</f>
        <v>#N/A</v>
      </c>
      <c r="C655" s="80" t="e">
        <v>#N/A</v>
      </c>
      <c r="D655" s="14">
        <f>57.2</f>
        <v>57.2</v>
      </c>
      <c r="E655" s="14" t="e">
        <f>NA()</f>
        <v>#N/A</v>
      </c>
      <c r="F655" s="14">
        <f>9.9</f>
        <v>9.9</v>
      </c>
      <c r="G655" s="14">
        <f>16.5</f>
        <v>16.5</v>
      </c>
      <c r="H655" s="14" t="e">
        <f>NA()</f>
        <v>#N/A</v>
      </c>
      <c r="I655" s="86" t="e">
        <f>NA()</f>
        <v>#N/A</v>
      </c>
      <c r="J655" s="87" t="e">
        <f>data비교작업!S658*100</f>
        <v>#N/A</v>
      </c>
      <c r="K655" s="85" t="e">
        <v>#N/A</v>
      </c>
    </row>
    <row r="656" spans="1:11" ht="18" customHeight="1" x14ac:dyDescent="0.25">
      <c r="A656" s="5">
        <v>24380</v>
      </c>
      <c r="B656" s="79" t="e">
        <f>NA()</f>
        <v>#N/A</v>
      </c>
      <c r="C656" s="80" t="e">
        <v>#N/A</v>
      </c>
      <c r="D656" s="14">
        <f>58.7</f>
        <v>58.7</v>
      </c>
      <c r="E656" s="14" t="e">
        <f>NA()</f>
        <v>#N/A</v>
      </c>
      <c r="F656" s="14">
        <f>9.5</f>
        <v>9.5</v>
      </c>
      <c r="G656" s="14">
        <f>12.9</f>
        <v>12.9</v>
      </c>
      <c r="H656" s="14" t="e">
        <f>NA()</f>
        <v>#N/A</v>
      </c>
      <c r="I656" s="86" t="e">
        <f>NA()</f>
        <v>#N/A</v>
      </c>
      <c r="J656" s="87" t="e">
        <f>data비교작업!S659*100</f>
        <v>#N/A</v>
      </c>
      <c r="K656" s="85" t="e">
        <v>#N/A</v>
      </c>
    </row>
    <row r="657" spans="1:11" ht="18" customHeight="1" x14ac:dyDescent="0.25">
      <c r="A657" s="5">
        <v>24350</v>
      </c>
      <c r="B657" s="79" t="e">
        <f>NA()</f>
        <v>#N/A</v>
      </c>
      <c r="C657" s="80" t="e">
        <v>#N/A</v>
      </c>
      <c r="D657" s="14">
        <f>58.5</f>
        <v>58.5</v>
      </c>
      <c r="E657" s="14" t="e">
        <f>NA()</f>
        <v>#N/A</v>
      </c>
      <c r="F657" s="14">
        <f>10.1</f>
        <v>10.1</v>
      </c>
      <c r="G657" s="14">
        <f>10.3</f>
        <v>10.3</v>
      </c>
      <c r="H657" s="14" t="e">
        <f>NA()</f>
        <v>#N/A</v>
      </c>
      <c r="I657" s="86" t="e">
        <f>NA()</f>
        <v>#N/A</v>
      </c>
      <c r="J657" s="87" t="e">
        <f>data비교작업!S660*100</f>
        <v>#N/A</v>
      </c>
      <c r="K657" s="85" t="e">
        <v>#N/A</v>
      </c>
    </row>
    <row r="658" spans="1:11" ht="18" customHeight="1" x14ac:dyDescent="0.25">
      <c r="A658" s="5">
        <v>24319</v>
      </c>
      <c r="B658" s="79" t="e">
        <f>NA()</f>
        <v>#N/A</v>
      </c>
      <c r="C658" s="80" t="e">
        <v>#N/A</v>
      </c>
      <c r="D658" s="14">
        <f>60.3</f>
        <v>60.3</v>
      </c>
      <c r="E658" s="14" t="e">
        <f>NA()</f>
        <v>#N/A</v>
      </c>
      <c r="F658" s="14">
        <f>9.5</f>
        <v>9.5</v>
      </c>
      <c r="G658" s="14">
        <f>9.1</f>
        <v>9.1</v>
      </c>
      <c r="H658" s="14" t="e">
        <f>NA()</f>
        <v>#N/A</v>
      </c>
      <c r="I658" s="86" t="e">
        <f>NA()</f>
        <v>#N/A</v>
      </c>
      <c r="J658" s="87" t="e">
        <f>data비교작업!S661*100</f>
        <v>#N/A</v>
      </c>
      <c r="K658" s="85" t="e">
        <v>#N/A</v>
      </c>
    </row>
    <row r="659" spans="1:11" ht="18" customHeight="1" x14ac:dyDescent="0.25">
      <c r="A659" s="5">
        <v>24288</v>
      </c>
      <c r="B659" s="79" t="e">
        <f>NA()</f>
        <v>#N/A</v>
      </c>
      <c r="C659" s="80" t="e">
        <v>#N/A</v>
      </c>
      <c r="D659" s="14">
        <f>59</f>
        <v>59</v>
      </c>
      <c r="E659" s="14" t="e">
        <f>NA()</f>
        <v>#N/A</v>
      </c>
      <c r="F659" s="14">
        <f>9.4</f>
        <v>9.4</v>
      </c>
      <c r="G659" s="14">
        <f>11</f>
        <v>11</v>
      </c>
      <c r="H659" s="14" t="e">
        <f>NA()</f>
        <v>#N/A</v>
      </c>
      <c r="I659" s="86" t="e">
        <f>NA()</f>
        <v>#N/A</v>
      </c>
      <c r="J659" s="87" t="e">
        <f>data비교작업!S662*100</f>
        <v>#N/A</v>
      </c>
      <c r="K659" s="85" t="e">
        <v>#N/A</v>
      </c>
    </row>
    <row r="660" spans="1:11" ht="18" customHeight="1" x14ac:dyDescent="0.25">
      <c r="A660" s="5">
        <v>24258</v>
      </c>
      <c r="B660" s="79" t="e">
        <f>NA()</f>
        <v>#N/A</v>
      </c>
      <c r="C660" s="80" t="e">
        <v>#N/A</v>
      </c>
      <c r="D660" s="14">
        <f>57.7</f>
        <v>57.7</v>
      </c>
      <c r="E660" s="14" t="e">
        <f>NA()</f>
        <v>#N/A</v>
      </c>
      <c r="F660" s="14">
        <f>9.9</f>
        <v>9.9</v>
      </c>
      <c r="G660" s="14">
        <f>9.9</f>
        <v>9.9</v>
      </c>
      <c r="H660" s="14" t="e">
        <f>NA()</f>
        <v>#N/A</v>
      </c>
      <c r="I660" s="86" t="e">
        <f>NA()</f>
        <v>#N/A</v>
      </c>
      <c r="J660" s="87" t="e">
        <f>data비교작업!S663*100</f>
        <v>#N/A</v>
      </c>
      <c r="K660" s="85" t="e">
        <v>#N/A</v>
      </c>
    </row>
    <row r="661" spans="1:11" ht="18" customHeight="1" x14ac:dyDescent="0.25">
      <c r="A661" s="5">
        <v>24227</v>
      </c>
      <c r="B661" s="79" t="e">
        <f>NA()</f>
        <v>#N/A</v>
      </c>
      <c r="C661" s="80" t="e">
        <v>#N/A</v>
      </c>
      <c r="D661" s="14">
        <f>64.2</f>
        <v>64.2</v>
      </c>
      <c r="E661" s="14" t="e">
        <f>NA()</f>
        <v>#N/A</v>
      </c>
      <c r="F661" s="14">
        <f>9.9</f>
        <v>9.9</v>
      </c>
      <c r="G661" s="14">
        <f>9</f>
        <v>9</v>
      </c>
      <c r="H661" s="14" t="e">
        <f>NA()</f>
        <v>#N/A</v>
      </c>
      <c r="I661" s="86" t="e">
        <f>NA()</f>
        <v>#N/A</v>
      </c>
      <c r="J661" s="87" t="e">
        <f>data비교작업!S664*100</f>
        <v>#N/A</v>
      </c>
      <c r="K661" s="85" t="e">
        <v>#N/A</v>
      </c>
    </row>
    <row r="662" spans="1:11" ht="18" customHeight="1" x14ac:dyDescent="0.25">
      <c r="A662" s="5">
        <v>24197</v>
      </c>
      <c r="B662" s="79" t="e">
        <f>NA()</f>
        <v>#N/A</v>
      </c>
      <c r="C662" s="80" t="e">
        <v>#N/A</v>
      </c>
      <c r="D662" s="14">
        <f>65.7</f>
        <v>65.7</v>
      </c>
      <c r="E662" s="14" t="e">
        <f>NA()</f>
        <v>#N/A</v>
      </c>
      <c r="F662" s="14">
        <f>8.2</f>
        <v>8.1999999999999993</v>
      </c>
      <c r="G662" s="14">
        <f>9.6</f>
        <v>9.6</v>
      </c>
      <c r="H662" s="14" t="e">
        <f>NA()</f>
        <v>#N/A</v>
      </c>
      <c r="I662" s="86" t="e">
        <f>NA()</f>
        <v>#N/A</v>
      </c>
      <c r="J662" s="87" t="e">
        <f>data비교작업!S665*100</f>
        <v>#N/A</v>
      </c>
      <c r="K662" s="85" t="e">
        <v>#N/A</v>
      </c>
    </row>
    <row r="663" spans="1:11" ht="18" customHeight="1" x14ac:dyDescent="0.25">
      <c r="A663" s="5">
        <v>24166</v>
      </c>
      <c r="B663" s="79" t="e">
        <f>NA()</f>
        <v>#N/A</v>
      </c>
      <c r="C663" s="80" t="e">
        <v>#N/A</v>
      </c>
      <c r="D663" s="14">
        <f>65.5</f>
        <v>65.5</v>
      </c>
      <c r="E663" s="14" t="e">
        <f>NA()</f>
        <v>#N/A</v>
      </c>
      <c r="F663" s="14">
        <f>6.7</f>
        <v>6.7</v>
      </c>
      <c r="G663" s="14">
        <f>8.1</f>
        <v>8.1</v>
      </c>
      <c r="H663" s="14" t="e">
        <f>NA()</f>
        <v>#N/A</v>
      </c>
      <c r="I663" s="86" t="e">
        <f>NA()</f>
        <v>#N/A</v>
      </c>
      <c r="J663" s="87" t="e">
        <f>data비교작업!S666*100</f>
        <v>#N/A</v>
      </c>
      <c r="K663" s="85" t="e">
        <v>#N/A</v>
      </c>
    </row>
    <row r="664" spans="1:11" ht="18" customHeight="1" x14ac:dyDescent="0.25">
      <c r="A664" s="5">
        <v>24138</v>
      </c>
      <c r="B664" s="79" t="e">
        <f>NA()</f>
        <v>#N/A</v>
      </c>
      <c r="C664" s="80" t="e">
        <v>#N/A</v>
      </c>
      <c r="D664" s="14">
        <f>65.8</f>
        <v>65.8</v>
      </c>
      <c r="E664" s="14" t="e">
        <f>NA()</f>
        <v>#N/A</v>
      </c>
      <c r="F664" s="14">
        <f>6</f>
        <v>6</v>
      </c>
      <c r="G664" s="14">
        <f>7.4</f>
        <v>7.4</v>
      </c>
      <c r="H664" s="14" t="e">
        <f>NA()</f>
        <v>#N/A</v>
      </c>
      <c r="I664" s="86" t="e">
        <f>NA()</f>
        <v>#N/A</v>
      </c>
      <c r="J664" s="87" t="e">
        <f>data비교작업!S667*100</f>
        <v>#N/A</v>
      </c>
      <c r="K664" s="85" t="e">
        <v>#N/A</v>
      </c>
    </row>
    <row r="665" spans="1:11" ht="18" customHeight="1" x14ac:dyDescent="0.25">
      <c r="A665" s="5">
        <v>24107</v>
      </c>
      <c r="B665" s="79" t="e">
        <f>NA()</f>
        <v>#N/A</v>
      </c>
      <c r="C665" s="80" t="e">
        <v>#N/A</v>
      </c>
      <c r="D665" s="14">
        <f>62.8</f>
        <v>62.8</v>
      </c>
      <c r="E665" s="14" t="e">
        <f>NA()</f>
        <v>#N/A</v>
      </c>
      <c r="F665" s="14" t="e">
        <f>NA()</f>
        <v>#N/A</v>
      </c>
      <c r="G665" s="14" t="e">
        <f>NA()</f>
        <v>#N/A</v>
      </c>
      <c r="H665" s="14" t="e">
        <f>NA()</f>
        <v>#N/A</v>
      </c>
      <c r="I665" s="86" t="e">
        <f>NA()</f>
        <v>#N/A</v>
      </c>
      <c r="J665" s="87" t="e">
        <f>data비교작업!S668*100</f>
        <v>#N/A</v>
      </c>
      <c r="K665" s="85" t="e">
        <v>#N/A</v>
      </c>
    </row>
    <row r="666" spans="1:11" ht="18" customHeight="1" x14ac:dyDescent="0.25">
      <c r="A666" s="5">
        <v>24076</v>
      </c>
      <c r="B666" s="79" t="e">
        <f>NA()</f>
        <v>#N/A</v>
      </c>
      <c r="C666" s="80" t="e">
        <v>#N/A</v>
      </c>
      <c r="D666" s="14">
        <f>59.4</f>
        <v>59.4</v>
      </c>
      <c r="E666" s="14" t="e">
        <f>NA()</f>
        <v>#N/A</v>
      </c>
      <c r="F666" s="14" t="e">
        <f>NA()</f>
        <v>#N/A</v>
      </c>
      <c r="G666" s="14" t="e">
        <f>NA()</f>
        <v>#N/A</v>
      </c>
      <c r="H666" s="14" t="e">
        <f>NA()</f>
        <v>#N/A</v>
      </c>
      <c r="I666" s="86" t="e">
        <f>NA()</f>
        <v>#N/A</v>
      </c>
      <c r="J666" s="87" t="e">
        <f>data비교작업!S669*100</f>
        <v>#N/A</v>
      </c>
      <c r="K666" s="85" t="e">
        <v>#N/A</v>
      </c>
    </row>
    <row r="667" spans="1:11" ht="18" customHeight="1" x14ac:dyDescent="0.25">
      <c r="A667" s="5">
        <v>24046</v>
      </c>
      <c r="B667" s="79" t="e">
        <f>NA()</f>
        <v>#N/A</v>
      </c>
      <c r="C667" s="80" t="e">
        <v>#N/A</v>
      </c>
      <c r="D667" s="14">
        <f>58.6</f>
        <v>58.6</v>
      </c>
      <c r="E667" s="14" t="e">
        <f>NA()</f>
        <v>#N/A</v>
      </c>
      <c r="F667" s="14" t="e">
        <f>NA()</f>
        <v>#N/A</v>
      </c>
      <c r="G667" s="14" t="e">
        <f>NA()</f>
        <v>#N/A</v>
      </c>
      <c r="H667" s="14" t="e">
        <f>NA()</f>
        <v>#N/A</v>
      </c>
      <c r="I667" s="86" t="e">
        <f>NA()</f>
        <v>#N/A</v>
      </c>
      <c r="J667" s="87" t="e">
        <f>data비교작업!S670*100</f>
        <v>#N/A</v>
      </c>
      <c r="K667" s="85" t="e">
        <v>#N/A</v>
      </c>
    </row>
    <row r="668" spans="1:11" ht="18" customHeight="1" x14ac:dyDescent="0.25">
      <c r="A668" s="5">
        <v>24015</v>
      </c>
      <c r="B668" s="79" t="e">
        <f>NA()</f>
        <v>#N/A</v>
      </c>
      <c r="C668" s="80" t="e">
        <v>#N/A</v>
      </c>
      <c r="D668" s="14">
        <f>61</f>
        <v>61</v>
      </c>
      <c r="E668" s="14" t="e">
        <f>NA()</f>
        <v>#N/A</v>
      </c>
      <c r="F668" s="14" t="e">
        <f>NA()</f>
        <v>#N/A</v>
      </c>
      <c r="G668" s="14" t="e">
        <f>NA()</f>
        <v>#N/A</v>
      </c>
      <c r="H668" s="14" t="e">
        <f>NA()</f>
        <v>#N/A</v>
      </c>
      <c r="I668" s="86" t="e">
        <f>NA()</f>
        <v>#N/A</v>
      </c>
      <c r="J668" s="87" t="e">
        <f>data비교작업!S671*100</f>
        <v>#N/A</v>
      </c>
      <c r="K668" s="85" t="e">
        <v>#N/A</v>
      </c>
    </row>
    <row r="669" spans="1:11" ht="18" customHeight="1" x14ac:dyDescent="0.25">
      <c r="A669" s="5">
        <v>23985</v>
      </c>
      <c r="B669" s="79" t="e">
        <f>NA()</f>
        <v>#N/A</v>
      </c>
      <c r="C669" s="80" t="e">
        <v>#N/A</v>
      </c>
      <c r="D669" s="14">
        <f>58.1</f>
        <v>58.1</v>
      </c>
      <c r="E669" s="14" t="e">
        <f>NA()</f>
        <v>#N/A</v>
      </c>
      <c r="F669" s="14" t="e">
        <f>NA()</f>
        <v>#N/A</v>
      </c>
      <c r="G669" s="14" t="e">
        <f>NA()</f>
        <v>#N/A</v>
      </c>
      <c r="H669" s="14" t="e">
        <f>NA()</f>
        <v>#N/A</v>
      </c>
      <c r="I669" s="86" t="e">
        <f>NA()</f>
        <v>#N/A</v>
      </c>
      <c r="J669" s="87" t="e">
        <f>data비교작업!S672*100</f>
        <v>#N/A</v>
      </c>
      <c r="K669" s="85" t="e">
        <v>#N/A</v>
      </c>
    </row>
    <row r="670" spans="1:11" ht="18" customHeight="1" x14ac:dyDescent="0.25">
      <c r="A670" s="5">
        <v>23954</v>
      </c>
      <c r="B670" s="79" t="e">
        <f>NA()</f>
        <v>#N/A</v>
      </c>
      <c r="C670" s="80" t="e">
        <v>#N/A</v>
      </c>
      <c r="D670" s="14">
        <f>58.1</f>
        <v>58.1</v>
      </c>
      <c r="E670" s="14" t="e">
        <f>NA()</f>
        <v>#N/A</v>
      </c>
      <c r="F670" s="14" t="e">
        <f>NA()</f>
        <v>#N/A</v>
      </c>
      <c r="G670" s="14" t="e">
        <f>NA()</f>
        <v>#N/A</v>
      </c>
      <c r="H670" s="14" t="e">
        <f>NA()</f>
        <v>#N/A</v>
      </c>
      <c r="I670" s="86" t="e">
        <f>NA()</f>
        <v>#N/A</v>
      </c>
      <c r="J670" s="87" t="e">
        <f>data비교작업!S673*100</f>
        <v>#N/A</v>
      </c>
      <c r="K670" s="85" t="e">
        <v>#N/A</v>
      </c>
    </row>
    <row r="671" spans="1:11" ht="18" customHeight="1" x14ac:dyDescent="0.25">
      <c r="A671" s="5">
        <v>23923</v>
      </c>
      <c r="B671" s="79" t="e">
        <f>NA()</f>
        <v>#N/A</v>
      </c>
      <c r="C671" s="80" t="e">
        <v>#N/A</v>
      </c>
      <c r="D671" s="14">
        <f>58.7</f>
        <v>58.7</v>
      </c>
      <c r="E671" s="14" t="e">
        <f>NA()</f>
        <v>#N/A</v>
      </c>
      <c r="F671" s="14" t="e">
        <f>NA()</f>
        <v>#N/A</v>
      </c>
      <c r="G671" s="14" t="e">
        <f>NA()</f>
        <v>#N/A</v>
      </c>
      <c r="H671" s="14" t="e">
        <f>NA()</f>
        <v>#N/A</v>
      </c>
      <c r="I671" s="86" t="e">
        <f>NA()</f>
        <v>#N/A</v>
      </c>
      <c r="J671" s="87" t="e">
        <f>data비교작업!S674*100</f>
        <v>#N/A</v>
      </c>
      <c r="K671" s="85" t="e">
        <v>#N/A</v>
      </c>
    </row>
    <row r="672" spans="1:11" ht="18" customHeight="1" x14ac:dyDescent="0.25">
      <c r="A672" s="5">
        <v>23893</v>
      </c>
      <c r="B672" s="79" t="e">
        <f>NA()</f>
        <v>#N/A</v>
      </c>
      <c r="C672" s="80" t="e">
        <v>#N/A</v>
      </c>
      <c r="D672" s="14">
        <f>61.3</f>
        <v>61.3</v>
      </c>
      <c r="E672" s="14" t="e">
        <f>NA()</f>
        <v>#N/A</v>
      </c>
      <c r="F672" s="14" t="e">
        <f>NA()</f>
        <v>#N/A</v>
      </c>
      <c r="G672" s="14" t="e">
        <f>NA()</f>
        <v>#N/A</v>
      </c>
      <c r="H672" s="14" t="e">
        <f>NA()</f>
        <v>#N/A</v>
      </c>
      <c r="I672" s="86" t="e">
        <f>NA()</f>
        <v>#N/A</v>
      </c>
      <c r="J672" s="87" t="e">
        <f>data비교작업!S675*100</f>
        <v>#N/A</v>
      </c>
      <c r="K672" s="85" t="e">
        <v>#N/A</v>
      </c>
    </row>
    <row r="673" spans="1:11" ht="18" customHeight="1" x14ac:dyDescent="0.25">
      <c r="A673" s="5">
        <v>23862</v>
      </c>
      <c r="B673" s="79" t="e">
        <f>NA()</f>
        <v>#N/A</v>
      </c>
      <c r="C673" s="80" t="e">
        <v>#N/A</v>
      </c>
      <c r="D673" s="14">
        <f>62</f>
        <v>62</v>
      </c>
      <c r="E673" s="14" t="e">
        <f>NA()</f>
        <v>#N/A</v>
      </c>
      <c r="F673" s="14" t="e">
        <f>NA()</f>
        <v>#N/A</v>
      </c>
      <c r="G673" s="14" t="e">
        <f>NA()</f>
        <v>#N/A</v>
      </c>
      <c r="H673" s="14" t="e">
        <f>NA()</f>
        <v>#N/A</v>
      </c>
      <c r="I673" s="86" t="e">
        <f>NA()</f>
        <v>#N/A</v>
      </c>
      <c r="J673" s="87" t="e">
        <f>data비교작업!S676*100</f>
        <v>#N/A</v>
      </c>
      <c r="K673" s="85" t="e">
        <v>#N/A</v>
      </c>
    </row>
    <row r="674" spans="1:11" ht="18" customHeight="1" x14ac:dyDescent="0.25">
      <c r="A674" s="5">
        <v>23832</v>
      </c>
      <c r="B674" s="79" t="e">
        <f>NA()</f>
        <v>#N/A</v>
      </c>
      <c r="C674" s="80" t="e">
        <v>#N/A</v>
      </c>
      <c r="D674" s="14">
        <f>64.9</f>
        <v>64.900000000000006</v>
      </c>
      <c r="E674" s="14" t="e">
        <f>NA()</f>
        <v>#N/A</v>
      </c>
      <c r="F674" s="14" t="e">
        <f>NA()</f>
        <v>#N/A</v>
      </c>
      <c r="G674" s="14" t="e">
        <f>NA()</f>
        <v>#N/A</v>
      </c>
      <c r="H674" s="14" t="e">
        <f>NA()</f>
        <v>#N/A</v>
      </c>
      <c r="I674" s="86" t="e">
        <f>NA()</f>
        <v>#N/A</v>
      </c>
      <c r="J674" s="87" t="e">
        <f>data비교작업!S677*100</f>
        <v>#N/A</v>
      </c>
      <c r="K674" s="85" t="e">
        <v>#N/A</v>
      </c>
    </row>
    <row r="675" spans="1:11" ht="18" customHeight="1" x14ac:dyDescent="0.25">
      <c r="A675" s="5">
        <v>23801</v>
      </c>
      <c r="B675" s="79" t="e">
        <f>NA()</f>
        <v>#N/A</v>
      </c>
      <c r="C675" s="80" t="e">
        <v>#N/A</v>
      </c>
      <c r="D675" s="14">
        <f>62.1</f>
        <v>62.1</v>
      </c>
      <c r="E675" s="14" t="e">
        <f>NA()</f>
        <v>#N/A</v>
      </c>
      <c r="F675" s="14" t="e">
        <f>NA()</f>
        <v>#N/A</v>
      </c>
      <c r="G675" s="14" t="e">
        <f>NA()</f>
        <v>#N/A</v>
      </c>
      <c r="H675" s="14" t="e">
        <f>NA()</f>
        <v>#N/A</v>
      </c>
      <c r="I675" s="86" t="e">
        <f>NA()</f>
        <v>#N/A</v>
      </c>
      <c r="J675" s="87" t="e">
        <f>data비교작업!S678*100</f>
        <v>#N/A</v>
      </c>
      <c r="K675" s="85" t="e">
        <v>#N/A</v>
      </c>
    </row>
    <row r="676" spans="1:11" ht="18" customHeight="1" x14ac:dyDescent="0.25">
      <c r="A676" s="5">
        <v>23773</v>
      </c>
      <c r="B676" s="79" t="e">
        <f>NA()</f>
        <v>#N/A</v>
      </c>
      <c r="C676" s="80" t="e">
        <v>#N/A</v>
      </c>
      <c r="D676" s="14">
        <f>61</f>
        <v>61</v>
      </c>
      <c r="E676" s="14" t="e">
        <f>NA()</f>
        <v>#N/A</v>
      </c>
      <c r="F676" s="14" t="e">
        <f>NA()</f>
        <v>#N/A</v>
      </c>
      <c r="G676" s="14" t="e">
        <f>NA()</f>
        <v>#N/A</v>
      </c>
      <c r="H676" s="14" t="e">
        <f>NA()</f>
        <v>#N/A</v>
      </c>
      <c r="I676" s="86" t="e">
        <f>NA()</f>
        <v>#N/A</v>
      </c>
      <c r="J676" s="87" t="e">
        <f>data비교작업!S679*100</f>
        <v>#N/A</v>
      </c>
      <c r="K676" s="85" t="e">
        <v>#N/A</v>
      </c>
    </row>
    <row r="677" spans="1:11" ht="18" customHeight="1" x14ac:dyDescent="0.25">
      <c r="A677" s="5">
        <v>23742</v>
      </c>
      <c r="B677" s="79" t="e">
        <f>NA()</f>
        <v>#N/A</v>
      </c>
      <c r="C677" s="80" t="e">
        <v>#N/A</v>
      </c>
      <c r="D677" s="14">
        <f>62.4</f>
        <v>62.4</v>
      </c>
      <c r="E677" s="14" t="e">
        <f>NA()</f>
        <v>#N/A</v>
      </c>
      <c r="F677" s="14" t="e">
        <f>NA()</f>
        <v>#N/A</v>
      </c>
      <c r="G677" s="14" t="e">
        <f>NA()</f>
        <v>#N/A</v>
      </c>
      <c r="H677" s="14" t="e">
        <f>NA()</f>
        <v>#N/A</v>
      </c>
      <c r="I677" s="86" t="e">
        <f>NA()</f>
        <v>#N/A</v>
      </c>
      <c r="J677" s="87" t="e">
        <f>data비교작업!S680*100</f>
        <v>#N/A</v>
      </c>
      <c r="K677" s="85" t="e">
        <v>#N/A</v>
      </c>
    </row>
    <row r="678" spans="1:11" ht="18" customHeight="1" x14ac:dyDescent="0.25">
      <c r="A678" s="5">
        <v>23711</v>
      </c>
      <c r="B678" s="79" t="e">
        <f>NA()</f>
        <v>#N/A</v>
      </c>
      <c r="C678" s="80" t="e">
        <v>#N/A</v>
      </c>
      <c r="D678" s="14">
        <f>61.8</f>
        <v>61.8</v>
      </c>
      <c r="E678" s="14" t="e">
        <f>NA()</f>
        <v>#N/A</v>
      </c>
      <c r="F678" s="14" t="e">
        <f>NA()</f>
        <v>#N/A</v>
      </c>
      <c r="G678" s="14" t="e">
        <f>NA()</f>
        <v>#N/A</v>
      </c>
      <c r="H678" s="14" t="e">
        <f>NA()</f>
        <v>#N/A</v>
      </c>
      <c r="I678" s="86" t="e">
        <f>NA()</f>
        <v>#N/A</v>
      </c>
      <c r="J678" s="87" t="e">
        <f>data비교작업!S681*100</f>
        <v>#N/A</v>
      </c>
      <c r="K678" s="85" t="e">
        <v>#N/A</v>
      </c>
    </row>
    <row r="679" spans="1:11" ht="18" customHeight="1" x14ac:dyDescent="0.25">
      <c r="A679" s="5">
        <v>23681</v>
      </c>
      <c r="B679" s="79" t="e">
        <f>NA()</f>
        <v>#N/A</v>
      </c>
      <c r="C679" s="80" t="e">
        <v>#N/A</v>
      </c>
      <c r="D679" s="14">
        <f>60.7</f>
        <v>60.7</v>
      </c>
      <c r="E679" s="14" t="e">
        <f>NA()</f>
        <v>#N/A</v>
      </c>
      <c r="F679" s="14" t="e">
        <f>NA()</f>
        <v>#N/A</v>
      </c>
      <c r="G679" s="14" t="e">
        <f>NA()</f>
        <v>#N/A</v>
      </c>
      <c r="H679" s="14" t="e">
        <f>NA()</f>
        <v>#N/A</v>
      </c>
      <c r="I679" s="86" t="e">
        <f>NA()</f>
        <v>#N/A</v>
      </c>
      <c r="J679" s="87" t="e">
        <f>data비교작업!S682*100</f>
        <v>#N/A</v>
      </c>
      <c r="K679" s="85" t="e">
        <v>#N/A</v>
      </c>
    </row>
    <row r="680" spans="1:11" ht="18" customHeight="1" x14ac:dyDescent="0.25">
      <c r="A680" s="5">
        <v>23650</v>
      </c>
      <c r="B680" s="79" t="e">
        <f>NA()</f>
        <v>#N/A</v>
      </c>
      <c r="C680" s="80" t="e">
        <v>#N/A</v>
      </c>
      <c r="D680" s="14">
        <f>63.3</f>
        <v>63.3</v>
      </c>
      <c r="E680" s="14" t="e">
        <f>NA()</f>
        <v>#N/A</v>
      </c>
      <c r="F680" s="14" t="e">
        <f>NA()</f>
        <v>#N/A</v>
      </c>
      <c r="G680" s="14" t="e">
        <f>NA()</f>
        <v>#N/A</v>
      </c>
      <c r="H680" s="14" t="e">
        <f>NA()</f>
        <v>#N/A</v>
      </c>
      <c r="I680" s="86" t="e">
        <f>NA()</f>
        <v>#N/A</v>
      </c>
      <c r="J680" s="87" t="e">
        <f>data비교작업!S683*100</f>
        <v>#N/A</v>
      </c>
      <c r="K680" s="85" t="e">
        <v>#N/A</v>
      </c>
    </row>
    <row r="681" spans="1:11" ht="18" customHeight="1" x14ac:dyDescent="0.25">
      <c r="A681" s="5">
        <v>23620</v>
      </c>
      <c r="B681" s="79" t="e">
        <f>NA()</f>
        <v>#N/A</v>
      </c>
      <c r="C681" s="80" t="e">
        <v>#N/A</v>
      </c>
      <c r="D681" s="14">
        <f>63.3</f>
        <v>63.3</v>
      </c>
      <c r="E681" s="14" t="e">
        <f>NA()</f>
        <v>#N/A</v>
      </c>
      <c r="F681" s="14" t="e">
        <f>NA()</f>
        <v>#N/A</v>
      </c>
      <c r="G681" s="14" t="e">
        <f>NA()</f>
        <v>#N/A</v>
      </c>
      <c r="H681" s="14" t="e">
        <f>NA()</f>
        <v>#N/A</v>
      </c>
      <c r="I681" s="86" t="e">
        <f>NA()</f>
        <v>#N/A</v>
      </c>
      <c r="J681" s="87" t="e">
        <f>data비교작업!S684*100</f>
        <v>#N/A</v>
      </c>
      <c r="K681" s="85" t="e">
        <v>#N/A</v>
      </c>
    </row>
    <row r="682" spans="1:11" ht="18" customHeight="1" x14ac:dyDescent="0.25">
      <c r="A682" s="5">
        <v>23589</v>
      </c>
      <c r="B682" s="79" t="e">
        <f>NA()</f>
        <v>#N/A</v>
      </c>
      <c r="C682" s="80" t="e">
        <v>#N/A</v>
      </c>
      <c r="D682" s="14">
        <f>62.9</f>
        <v>62.9</v>
      </c>
      <c r="E682" s="14" t="e">
        <f>NA()</f>
        <v>#N/A</v>
      </c>
      <c r="F682" s="14" t="e">
        <f>NA()</f>
        <v>#N/A</v>
      </c>
      <c r="G682" s="14" t="e">
        <f>NA()</f>
        <v>#N/A</v>
      </c>
      <c r="H682" s="14" t="e">
        <f>NA()</f>
        <v>#N/A</v>
      </c>
      <c r="I682" s="86" t="e">
        <f>NA()</f>
        <v>#N/A</v>
      </c>
      <c r="J682" s="87" t="e">
        <f>data비교작업!S685*100</f>
        <v>#N/A</v>
      </c>
      <c r="K682" s="85" t="e">
        <v>#N/A</v>
      </c>
    </row>
    <row r="683" spans="1:11" ht="18" customHeight="1" x14ac:dyDescent="0.25">
      <c r="A683" s="5">
        <v>23558</v>
      </c>
      <c r="B683" s="79" t="e">
        <f>NA()</f>
        <v>#N/A</v>
      </c>
      <c r="C683" s="80" t="e">
        <v>#N/A</v>
      </c>
      <c r="D683" s="14">
        <f>60.1</f>
        <v>60.1</v>
      </c>
      <c r="E683" s="14" t="e">
        <f>NA()</f>
        <v>#N/A</v>
      </c>
      <c r="F683" s="14" t="e">
        <f>NA()</f>
        <v>#N/A</v>
      </c>
      <c r="G683" s="14" t="e">
        <f>NA()</f>
        <v>#N/A</v>
      </c>
      <c r="H683" s="14" t="e">
        <f>NA()</f>
        <v>#N/A</v>
      </c>
      <c r="I683" s="86" t="e">
        <f>NA()</f>
        <v>#N/A</v>
      </c>
      <c r="J683" s="87" t="e">
        <f>data비교작업!S686*100</f>
        <v>#N/A</v>
      </c>
      <c r="K683" s="85" t="e">
        <v>#N/A</v>
      </c>
    </row>
    <row r="684" spans="1:11" ht="18" customHeight="1" x14ac:dyDescent="0.25">
      <c r="A684" s="5">
        <v>23528</v>
      </c>
      <c r="B684" s="79" t="e">
        <f>NA()</f>
        <v>#N/A</v>
      </c>
      <c r="C684" s="80" t="e">
        <v>#N/A</v>
      </c>
      <c r="D684" s="14">
        <f>58.7</f>
        <v>58.7</v>
      </c>
      <c r="E684" s="14" t="e">
        <f>NA()</f>
        <v>#N/A</v>
      </c>
      <c r="F684" s="14" t="e">
        <f>NA()</f>
        <v>#N/A</v>
      </c>
      <c r="G684" s="14" t="e">
        <f>NA()</f>
        <v>#N/A</v>
      </c>
      <c r="H684" s="14" t="e">
        <f>NA()</f>
        <v>#N/A</v>
      </c>
      <c r="I684" s="86" t="e">
        <f>NA()</f>
        <v>#N/A</v>
      </c>
      <c r="J684" s="87" t="e">
        <f>data비교작업!S687*100</f>
        <v>#N/A</v>
      </c>
      <c r="K684" s="85" t="e">
        <v>#N/A</v>
      </c>
    </row>
    <row r="685" spans="1:11" ht="18" customHeight="1" x14ac:dyDescent="0.25">
      <c r="A685" s="5">
        <v>23497</v>
      </c>
      <c r="B685" s="79" t="e">
        <f>NA()</f>
        <v>#N/A</v>
      </c>
      <c r="C685" s="80" t="e">
        <v>#N/A</v>
      </c>
      <c r="D685" s="14">
        <f>59.2</f>
        <v>59.2</v>
      </c>
      <c r="E685" s="14" t="e">
        <f>NA()</f>
        <v>#N/A</v>
      </c>
      <c r="F685" s="14" t="e">
        <f>NA()</f>
        <v>#N/A</v>
      </c>
      <c r="G685" s="14" t="e">
        <f>NA()</f>
        <v>#N/A</v>
      </c>
      <c r="H685" s="14" t="e">
        <f>NA()</f>
        <v>#N/A</v>
      </c>
      <c r="I685" s="86" t="e">
        <f>NA()</f>
        <v>#N/A</v>
      </c>
      <c r="J685" s="87" t="e">
        <f>data비교작업!S688*100</f>
        <v>#N/A</v>
      </c>
      <c r="K685" s="85" t="e">
        <v>#N/A</v>
      </c>
    </row>
    <row r="686" spans="1:11" ht="18" customHeight="1" x14ac:dyDescent="0.25">
      <c r="A686" s="5">
        <v>23467</v>
      </c>
      <c r="B686" s="79" t="e">
        <f>NA()</f>
        <v>#N/A</v>
      </c>
      <c r="C686" s="80" t="e">
        <v>#N/A</v>
      </c>
      <c r="D686" s="14">
        <f>60.2</f>
        <v>60.2</v>
      </c>
      <c r="E686" s="14" t="e">
        <f>NA()</f>
        <v>#N/A</v>
      </c>
      <c r="F686" s="14" t="e">
        <f>NA()</f>
        <v>#N/A</v>
      </c>
      <c r="G686" s="14" t="e">
        <f>NA()</f>
        <v>#N/A</v>
      </c>
      <c r="H686" s="14" t="e">
        <f>NA()</f>
        <v>#N/A</v>
      </c>
      <c r="I686" s="86" t="e">
        <f>NA()</f>
        <v>#N/A</v>
      </c>
      <c r="J686" s="87" t="e">
        <f>data비교작업!S689*100</f>
        <v>#N/A</v>
      </c>
      <c r="K686" s="85" t="e">
        <v>#N/A</v>
      </c>
    </row>
    <row r="687" spans="1:11" ht="18" customHeight="1" x14ac:dyDescent="0.25">
      <c r="A687" s="5">
        <v>23436</v>
      </c>
      <c r="B687" s="79" t="e">
        <f>NA()</f>
        <v>#N/A</v>
      </c>
      <c r="C687" s="80" t="e">
        <v>#N/A</v>
      </c>
      <c r="D687" s="14">
        <f>57.9</f>
        <v>57.9</v>
      </c>
      <c r="E687" s="14" t="e">
        <f>NA()</f>
        <v>#N/A</v>
      </c>
      <c r="F687" s="14" t="e">
        <f>NA()</f>
        <v>#N/A</v>
      </c>
      <c r="G687" s="14" t="e">
        <f>NA()</f>
        <v>#N/A</v>
      </c>
      <c r="H687" s="14" t="e">
        <f>NA()</f>
        <v>#N/A</v>
      </c>
      <c r="I687" s="86" t="e">
        <f>NA()</f>
        <v>#N/A</v>
      </c>
      <c r="J687" s="87" t="e">
        <f>data비교작업!S690*100</f>
        <v>#N/A</v>
      </c>
      <c r="K687" s="85" t="e">
        <v>#N/A</v>
      </c>
    </row>
    <row r="688" spans="1:11" ht="18" customHeight="1" x14ac:dyDescent="0.25">
      <c r="A688" s="5">
        <v>23407</v>
      </c>
      <c r="B688" s="79" t="e">
        <f>NA()</f>
        <v>#N/A</v>
      </c>
      <c r="C688" s="80" t="e">
        <v>#N/A</v>
      </c>
      <c r="D688" s="14">
        <f>57.1</f>
        <v>57.1</v>
      </c>
      <c r="E688" s="14" t="e">
        <f>NA()</f>
        <v>#N/A</v>
      </c>
      <c r="F688" s="14" t="e">
        <f>NA()</f>
        <v>#N/A</v>
      </c>
      <c r="G688" s="14" t="e">
        <f>NA()</f>
        <v>#N/A</v>
      </c>
      <c r="H688" s="14" t="e">
        <f>NA()</f>
        <v>#N/A</v>
      </c>
      <c r="I688" s="86" t="e">
        <f>NA()</f>
        <v>#N/A</v>
      </c>
      <c r="J688" s="87" t="e">
        <f>data비교작업!S691*100</f>
        <v>#N/A</v>
      </c>
      <c r="K688" s="85" t="e">
        <v>#N/A</v>
      </c>
    </row>
    <row r="689" spans="1:11" ht="18" customHeight="1" x14ac:dyDescent="0.25">
      <c r="A689" s="5">
        <v>23376</v>
      </c>
      <c r="B689" s="79" t="e">
        <f>NA()</f>
        <v>#N/A</v>
      </c>
      <c r="C689" s="80" t="e">
        <v>#N/A</v>
      </c>
      <c r="D689" s="14">
        <f>54</f>
        <v>54</v>
      </c>
      <c r="E689" s="14" t="e">
        <f>NA()</f>
        <v>#N/A</v>
      </c>
      <c r="F689" s="14" t="e">
        <f>NA()</f>
        <v>#N/A</v>
      </c>
      <c r="G689" s="14" t="e">
        <f>NA()</f>
        <v>#N/A</v>
      </c>
      <c r="H689" s="14" t="e">
        <f>NA()</f>
        <v>#N/A</v>
      </c>
      <c r="I689" s="86" t="e">
        <f>NA()</f>
        <v>#N/A</v>
      </c>
      <c r="J689" s="87" t="e">
        <f>data비교작업!S692*100</f>
        <v>#N/A</v>
      </c>
      <c r="K689" s="85" t="e">
        <v>#N/A</v>
      </c>
    </row>
    <row r="690" spans="1:11" ht="18" customHeight="1" x14ac:dyDescent="0.25">
      <c r="A690" s="5">
        <v>23345</v>
      </c>
      <c r="B690" s="79" t="e">
        <f>NA()</f>
        <v>#N/A</v>
      </c>
      <c r="C690" s="80" t="e">
        <v>#N/A</v>
      </c>
      <c r="D690" s="14">
        <f>57.5</f>
        <v>57.5</v>
      </c>
      <c r="E690" s="14" t="e">
        <f>NA()</f>
        <v>#N/A</v>
      </c>
      <c r="F690" s="14" t="e">
        <f>NA()</f>
        <v>#N/A</v>
      </c>
      <c r="G690" s="14" t="e">
        <f>NA()</f>
        <v>#N/A</v>
      </c>
      <c r="H690" s="14" t="e">
        <f>NA()</f>
        <v>#N/A</v>
      </c>
      <c r="I690" s="86" t="e">
        <f>NA()</f>
        <v>#N/A</v>
      </c>
      <c r="J690" s="87" t="e">
        <f>data비교작업!S693*100</f>
        <v>#N/A</v>
      </c>
      <c r="K690" s="85" t="e">
        <v>#N/A</v>
      </c>
    </row>
    <row r="691" spans="1:11" ht="18" customHeight="1" x14ac:dyDescent="0.25">
      <c r="A691" s="5">
        <v>23315</v>
      </c>
      <c r="B691" s="79" t="e">
        <f>NA()</f>
        <v>#N/A</v>
      </c>
      <c r="C691" s="80" t="e">
        <v>#N/A</v>
      </c>
      <c r="D691" s="14">
        <f>57.7</f>
        <v>57.7</v>
      </c>
      <c r="E691" s="14" t="e">
        <f>NA()</f>
        <v>#N/A</v>
      </c>
      <c r="F691" s="14" t="e">
        <f>NA()</f>
        <v>#N/A</v>
      </c>
      <c r="G691" s="14" t="e">
        <f>NA()</f>
        <v>#N/A</v>
      </c>
      <c r="H691" s="14" t="e">
        <f>NA()</f>
        <v>#N/A</v>
      </c>
      <c r="I691" s="86" t="e">
        <f>NA()</f>
        <v>#N/A</v>
      </c>
      <c r="J691" s="87" t="e">
        <f>data비교작업!S694*100</f>
        <v>#N/A</v>
      </c>
      <c r="K691" s="85" t="e">
        <v>#N/A</v>
      </c>
    </row>
    <row r="692" spans="1:11" ht="18" customHeight="1" x14ac:dyDescent="0.25">
      <c r="A692" s="5">
        <v>23284</v>
      </c>
      <c r="B692" s="79" t="e">
        <f>NA()</f>
        <v>#N/A</v>
      </c>
      <c r="C692" s="80" t="e">
        <v>#N/A</v>
      </c>
      <c r="D692" s="14">
        <f>56.9</f>
        <v>56.9</v>
      </c>
      <c r="E692" s="14" t="e">
        <f>NA()</f>
        <v>#N/A</v>
      </c>
      <c r="F692" s="14" t="e">
        <f>NA()</f>
        <v>#N/A</v>
      </c>
      <c r="G692" s="14" t="e">
        <f>NA()</f>
        <v>#N/A</v>
      </c>
      <c r="H692" s="14" t="e">
        <f>NA()</f>
        <v>#N/A</v>
      </c>
      <c r="I692" s="86" t="e">
        <f>NA()</f>
        <v>#N/A</v>
      </c>
      <c r="J692" s="87" t="e">
        <f>data비교작업!S695*100</f>
        <v>#N/A</v>
      </c>
      <c r="K692" s="85" t="e">
        <v>#N/A</v>
      </c>
    </row>
    <row r="693" spans="1:11" ht="18" customHeight="1" x14ac:dyDescent="0.25">
      <c r="A693" s="5">
        <v>23254</v>
      </c>
      <c r="B693" s="79" t="e">
        <f>NA()</f>
        <v>#N/A</v>
      </c>
      <c r="C693" s="80" t="e">
        <v>#N/A</v>
      </c>
      <c r="D693" s="14">
        <f>55.1</f>
        <v>55.1</v>
      </c>
      <c r="E693" s="14" t="e">
        <f>NA()</f>
        <v>#N/A</v>
      </c>
      <c r="F693" s="14" t="e">
        <f>NA()</f>
        <v>#N/A</v>
      </c>
      <c r="G693" s="14" t="e">
        <f>NA()</f>
        <v>#N/A</v>
      </c>
      <c r="H693" s="14" t="e">
        <f>NA()</f>
        <v>#N/A</v>
      </c>
      <c r="I693" s="86" t="e">
        <f>NA()</f>
        <v>#N/A</v>
      </c>
      <c r="J693" s="87" t="e">
        <f>data비교작업!S696*100</f>
        <v>#N/A</v>
      </c>
      <c r="K693" s="85" t="e">
        <v>#N/A</v>
      </c>
    </row>
    <row r="694" spans="1:11" ht="18" customHeight="1" x14ac:dyDescent="0.25">
      <c r="A694" s="5">
        <v>23223</v>
      </c>
      <c r="B694" s="79" t="e">
        <f>NA()</f>
        <v>#N/A</v>
      </c>
      <c r="C694" s="80" t="e">
        <v>#N/A</v>
      </c>
      <c r="D694" s="14">
        <f>55.5</f>
        <v>55.5</v>
      </c>
      <c r="E694" s="14" t="e">
        <f>NA()</f>
        <v>#N/A</v>
      </c>
      <c r="F694" s="14" t="e">
        <f>NA()</f>
        <v>#N/A</v>
      </c>
      <c r="G694" s="14" t="e">
        <f>NA()</f>
        <v>#N/A</v>
      </c>
      <c r="H694" s="14" t="e">
        <f>NA()</f>
        <v>#N/A</v>
      </c>
      <c r="I694" s="86" t="e">
        <f>NA()</f>
        <v>#N/A</v>
      </c>
      <c r="J694" s="87" t="e">
        <f>data비교작업!S697*100</f>
        <v>#N/A</v>
      </c>
      <c r="K694" s="85" t="e">
        <v>#N/A</v>
      </c>
    </row>
    <row r="695" spans="1:11" ht="18" customHeight="1" x14ac:dyDescent="0.25">
      <c r="A695" s="5">
        <v>23192</v>
      </c>
      <c r="B695" s="79" t="e">
        <f>NA()</f>
        <v>#N/A</v>
      </c>
      <c r="C695" s="80" t="e">
        <v>#N/A</v>
      </c>
      <c r="D695" s="14">
        <f>58.2</f>
        <v>58.2</v>
      </c>
      <c r="E695" s="14" t="e">
        <f>NA()</f>
        <v>#N/A</v>
      </c>
      <c r="F695" s="14" t="e">
        <f>NA()</f>
        <v>#N/A</v>
      </c>
      <c r="G695" s="14" t="e">
        <f>NA()</f>
        <v>#N/A</v>
      </c>
      <c r="H695" s="14" t="e">
        <f>NA()</f>
        <v>#N/A</v>
      </c>
      <c r="I695" s="86" t="e">
        <f>NA()</f>
        <v>#N/A</v>
      </c>
      <c r="J695" s="87" t="e">
        <f>data비교작업!S698*100</f>
        <v>#N/A</v>
      </c>
      <c r="K695" s="85" t="e">
        <v>#N/A</v>
      </c>
    </row>
    <row r="696" spans="1:11" ht="18" customHeight="1" x14ac:dyDescent="0.25">
      <c r="A696" s="5">
        <v>23162</v>
      </c>
      <c r="B696" s="79" t="e">
        <f>NA()</f>
        <v>#N/A</v>
      </c>
      <c r="C696" s="80" t="e">
        <v>#N/A</v>
      </c>
      <c r="D696" s="14">
        <f>59.8</f>
        <v>59.8</v>
      </c>
      <c r="E696" s="14" t="e">
        <f>NA()</f>
        <v>#N/A</v>
      </c>
      <c r="F696" s="14" t="e">
        <f>NA()</f>
        <v>#N/A</v>
      </c>
      <c r="G696" s="14" t="e">
        <f>NA()</f>
        <v>#N/A</v>
      </c>
      <c r="H696" s="14" t="e">
        <f>NA()</f>
        <v>#N/A</v>
      </c>
      <c r="I696" s="86" t="e">
        <f>NA()</f>
        <v>#N/A</v>
      </c>
      <c r="J696" s="87" t="e">
        <f>data비교작업!S699*100</f>
        <v>#N/A</v>
      </c>
      <c r="K696" s="85" t="e">
        <v>#N/A</v>
      </c>
    </row>
    <row r="697" spans="1:11" ht="18" customHeight="1" x14ac:dyDescent="0.25">
      <c r="A697" s="5">
        <v>23131</v>
      </c>
      <c r="B697" s="79" t="e">
        <f>NA()</f>
        <v>#N/A</v>
      </c>
      <c r="C697" s="80" t="e">
        <v>#N/A</v>
      </c>
      <c r="D697" s="14">
        <f>57.6</f>
        <v>57.6</v>
      </c>
      <c r="E697" s="14" t="e">
        <f>NA()</f>
        <v>#N/A</v>
      </c>
      <c r="F697" s="14" t="e">
        <f>NA()</f>
        <v>#N/A</v>
      </c>
      <c r="G697" s="14" t="e">
        <f>NA()</f>
        <v>#N/A</v>
      </c>
      <c r="H697" s="14" t="e">
        <f>NA()</f>
        <v>#N/A</v>
      </c>
      <c r="I697" s="86" t="e">
        <f>NA()</f>
        <v>#N/A</v>
      </c>
      <c r="J697" s="87" t="e">
        <f>data비교작업!S700*100</f>
        <v>#N/A</v>
      </c>
      <c r="K697" s="85" t="e">
        <v>#N/A</v>
      </c>
    </row>
    <row r="698" spans="1:11" ht="18" customHeight="1" x14ac:dyDescent="0.25">
      <c r="A698" s="5">
        <v>23101</v>
      </c>
      <c r="B698" s="79" t="e">
        <f>NA()</f>
        <v>#N/A</v>
      </c>
      <c r="C698" s="80" t="e">
        <v>#N/A</v>
      </c>
      <c r="D698" s="14">
        <f>54.7</f>
        <v>54.7</v>
      </c>
      <c r="E698" s="14" t="e">
        <f>NA()</f>
        <v>#N/A</v>
      </c>
      <c r="F698" s="14" t="e">
        <f>NA()</f>
        <v>#N/A</v>
      </c>
      <c r="G698" s="14" t="e">
        <f>NA()</f>
        <v>#N/A</v>
      </c>
      <c r="H698" s="14" t="e">
        <f>NA()</f>
        <v>#N/A</v>
      </c>
      <c r="I698" s="86" t="e">
        <f>NA()</f>
        <v>#N/A</v>
      </c>
      <c r="J698" s="87" t="e">
        <f>data비교작업!S701*100</f>
        <v>#N/A</v>
      </c>
      <c r="K698" s="85" t="e">
        <v>#N/A</v>
      </c>
    </row>
    <row r="699" spans="1:11" ht="18" customHeight="1" x14ac:dyDescent="0.25">
      <c r="A699" s="5">
        <v>23070</v>
      </c>
      <c r="B699" s="79" t="e">
        <f>NA()</f>
        <v>#N/A</v>
      </c>
      <c r="C699" s="80" t="e">
        <v>#N/A</v>
      </c>
      <c r="D699" s="14">
        <f>55.1</f>
        <v>55.1</v>
      </c>
      <c r="E699" s="14" t="e">
        <f>NA()</f>
        <v>#N/A</v>
      </c>
      <c r="F699" s="14" t="e">
        <f>NA()</f>
        <v>#N/A</v>
      </c>
      <c r="G699" s="14" t="e">
        <f>NA()</f>
        <v>#N/A</v>
      </c>
      <c r="H699" s="14" t="e">
        <f>NA()</f>
        <v>#N/A</v>
      </c>
      <c r="I699" s="86" t="e">
        <f>NA()</f>
        <v>#N/A</v>
      </c>
      <c r="J699" s="87" t="e">
        <f>data비교작업!S702*100</f>
        <v>#N/A</v>
      </c>
      <c r="K699" s="85" t="e">
        <v>#N/A</v>
      </c>
    </row>
    <row r="700" spans="1:11" ht="18" customHeight="1" x14ac:dyDescent="0.25">
      <c r="A700" s="5">
        <v>23042</v>
      </c>
      <c r="B700" s="79" t="e">
        <f>NA()</f>
        <v>#N/A</v>
      </c>
      <c r="C700" s="80" t="e">
        <v>#N/A</v>
      </c>
      <c r="D700" s="14">
        <f>55.2</f>
        <v>55.2</v>
      </c>
      <c r="E700" s="14" t="e">
        <f>NA()</f>
        <v>#N/A</v>
      </c>
      <c r="F700" s="14" t="e">
        <f>NA()</f>
        <v>#N/A</v>
      </c>
      <c r="G700" s="14" t="e">
        <f>NA()</f>
        <v>#N/A</v>
      </c>
      <c r="H700" s="14" t="e">
        <f>NA()</f>
        <v>#N/A</v>
      </c>
      <c r="I700" s="86" t="e">
        <f>NA()</f>
        <v>#N/A</v>
      </c>
      <c r="J700" s="87" t="e">
        <f>data비교작업!S703*100</f>
        <v>#N/A</v>
      </c>
      <c r="K700" s="85" t="e">
        <v>#N/A</v>
      </c>
    </row>
    <row r="701" spans="1:11" ht="18" customHeight="1" x14ac:dyDescent="0.25">
      <c r="A701" s="5">
        <v>23011</v>
      </c>
      <c r="B701" s="79" t="e">
        <f>NA()</f>
        <v>#N/A</v>
      </c>
      <c r="C701" s="80" t="e">
        <v>#N/A</v>
      </c>
      <c r="D701" s="14">
        <f>57.2</f>
        <v>57.2</v>
      </c>
      <c r="E701" s="14" t="e">
        <f>NA()</f>
        <v>#N/A</v>
      </c>
      <c r="F701" s="14" t="e">
        <f>NA()</f>
        <v>#N/A</v>
      </c>
      <c r="G701" s="14" t="e">
        <f>NA()</f>
        <v>#N/A</v>
      </c>
      <c r="H701" s="14" t="e">
        <f>NA()</f>
        <v>#N/A</v>
      </c>
      <c r="I701" s="86" t="e">
        <f>NA()</f>
        <v>#N/A</v>
      </c>
      <c r="J701" s="87" t="e">
        <f>data비교작업!S704*100</f>
        <v>#N/A</v>
      </c>
      <c r="K701" s="85" t="e">
        <v>#N/A</v>
      </c>
    </row>
    <row r="702" spans="1:11" ht="18" customHeight="1" x14ac:dyDescent="0.25">
      <c r="A702" s="5">
        <v>22980</v>
      </c>
      <c r="B702" s="79" t="e">
        <f>NA()</f>
        <v>#N/A</v>
      </c>
      <c r="C702" s="80" t="e">
        <v>#N/A</v>
      </c>
      <c r="D702" s="14">
        <f>53.8</f>
        <v>53.8</v>
      </c>
      <c r="E702" s="14" t="e">
        <f>NA()</f>
        <v>#N/A</v>
      </c>
      <c r="F702" s="14" t="e">
        <f>NA()</f>
        <v>#N/A</v>
      </c>
      <c r="G702" s="14" t="e">
        <f>NA()</f>
        <v>#N/A</v>
      </c>
      <c r="H702" s="14" t="e">
        <f>NA()</f>
        <v>#N/A</v>
      </c>
      <c r="I702" s="86" t="e">
        <f>NA()</f>
        <v>#N/A</v>
      </c>
      <c r="J702" s="87" t="e">
        <f>data비교작업!S705*100</f>
        <v>#N/A</v>
      </c>
      <c r="K702" s="85" t="e">
        <v>#N/A</v>
      </c>
    </row>
    <row r="703" spans="1:11" ht="18" customHeight="1" x14ac:dyDescent="0.25">
      <c r="A703" s="5">
        <v>22950</v>
      </c>
      <c r="B703" s="79" t="e">
        <f>NA()</f>
        <v>#N/A</v>
      </c>
      <c r="C703" s="80" t="e">
        <v>#N/A</v>
      </c>
      <c r="D703" s="14">
        <f>51.2</f>
        <v>51.2</v>
      </c>
      <c r="E703" s="14" t="e">
        <f>NA()</f>
        <v>#N/A</v>
      </c>
      <c r="F703" s="14" t="e">
        <f>NA()</f>
        <v>#N/A</v>
      </c>
      <c r="G703" s="14" t="e">
        <f>NA()</f>
        <v>#N/A</v>
      </c>
      <c r="H703" s="14" t="e">
        <f>NA()</f>
        <v>#N/A</v>
      </c>
      <c r="I703" s="86" t="e">
        <f>NA()</f>
        <v>#N/A</v>
      </c>
      <c r="J703" s="87" t="e">
        <f>data비교작업!S706*100</f>
        <v>#N/A</v>
      </c>
      <c r="K703" s="85" t="e">
        <v>#N/A</v>
      </c>
    </row>
    <row r="704" spans="1:11" ht="18" customHeight="1" x14ac:dyDescent="0.25">
      <c r="A704" s="5">
        <v>22919</v>
      </c>
      <c r="B704" s="79" t="e">
        <f>NA()</f>
        <v>#N/A</v>
      </c>
      <c r="C704" s="80" t="e">
        <v>#N/A</v>
      </c>
      <c r="D704" s="14">
        <f>50</f>
        <v>50</v>
      </c>
      <c r="E704" s="14" t="e">
        <f>NA()</f>
        <v>#N/A</v>
      </c>
      <c r="F704" s="14" t="e">
        <f>NA()</f>
        <v>#N/A</v>
      </c>
      <c r="G704" s="14" t="e">
        <f>NA()</f>
        <v>#N/A</v>
      </c>
      <c r="H704" s="14" t="e">
        <f>NA()</f>
        <v>#N/A</v>
      </c>
      <c r="I704" s="86" t="e">
        <f>NA()</f>
        <v>#N/A</v>
      </c>
      <c r="J704" s="87" t="e">
        <f>data비교작업!S707*100</f>
        <v>#N/A</v>
      </c>
      <c r="K704" s="85" t="e">
        <v>#N/A</v>
      </c>
    </row>
    <row r="705" spans="1:11" ht="18" customHeight="1" x14ac:dyDescent="0.25">
      <c r="A705" s="5">
        <v>22889</v>
      </c>
      <c r="B705" s="79" t="e">
        <f>NA()</f>
        <v>#N/A</v>
      </c>
      <c r="C705" s="80" t="e">
        <v>#N/A</v>
      </c>
      <c r="D705" s="14">
        <f>49.5</f>
        <v>49.5</v>
      </c>
      <c r="E705" s="14" t="e">
        <f>NA()</f>
        <v>#N/A</v>
      </c>
      <c r="F705" s="14" t="e">
        <f>NA()</f>
        <v>#N/A</v>
      </c>
      <c r="G705" s="14" t="e">
        <f>NA()</f>
        <v>#N/A</v>
      </c>
      <c r="H705" s="14" t="e">
        <f>NA()</f>
        <v>#N/A</v>
      </c>
      <c r="I705" s="86" t="e">
        <f>NA()</f>
        <v>#N/A</v>
      </c>
      <c r="J705" s="87" t="e">
        <f>data비교작업!S708*100</f>
        <v>#N/A</v>
      </c>
      <c r="K705" s="85" t="e">
        <v>#N/A</v>
      </c>
    </row>
    <row r="706" spans="1:11" ht="18" customHeight="1" x14ac:dyDescent="0.25">
      <c r="A706" s="5">
        <v>22858</v>
      </c>
      <c r="B706" s="79" t="e">
        <f>NA()</f>
        <v>#N/A</v>
      </c>
      <c r="C706" s="80" t="e">
        <v>#N/A</v>
      </c>
      <c r="D706" s="14">
        <f>51</f>
        <v>51</v>
      </c>
      <c r="E706" s="14" t="e">
        <f>NA()</f>
        <v>#N/A</v>
      </c>
      <c r="F706" s="14" t="e">
        <f>NA()</f>
        <v>#N/A</v>
      </c>
      <c r="G706" s="14" t="e">
        <f>NA()</f>
        <v>#N/A</v>
      </c>
      <c r="H706" s="14" t="e">
        <f>NA()</f>
        <v>#N/A</v>
      </c>
      <c r="I706" s="86" t="e">
        <f>NA()</f>
        <v>#N/A</v>
      </c>
      <c r="J706" s="87" t="e">
        <f>data비교작업!S709*100</f>
        <v>#N/A</v>
      </c>
      <c r="K706" s="85" t="e">
        <v>#N/A</v>
      </c>
    </row>
    <row r="707" spans="1:11" ht="18" customHeight="1" x14ac:dyDescent="0.25">
      <c r="A707" s="5">
        <v>22827</v>
      </c>
      <c r="B707" s="79" t="e">
        <f>NA()</f>
        <v>#N/A</v>
      </c>
      <c r="C707" s="80" t="e">
        <v>#N/A</v>
      </c>
      <c r="D707" s="14">
        <f>50.8</f>
        <v>50.8</v>
      </c>
      <c r="E707" s="14" t="e">
        <f>NA()</f>
        <v>#N/A</v>
      </c>
      <c r="F707" s="14" t="e">
        <f>NA()</f>
        <v>#N/A</v>
      </c>
      <c r="G707" s="14" t="e">
        <f>NA()</f>
        <v>#N/A</v>
      </c>
      <c r="H707" s="14" t="e">
        <f>NA()</f>
        <v>#N/A</v>
      </c>
      <c r="I707" s="86" t="e">
        <f>NA()</f>
        <v>#N/A</v>
      </c>
      <c r="J707" s="87" t="e">
        <f>data비교작업!S710*100</f>
        <v>#N/A</v>
      </c>
      <c r="K707" s="85" t="e">
        <v>#N/A</v>
      </c>
    </row>
    <row r="708" spans="1:11" ht="18" customHeight="1" x14ac:dyDescent="0.25">
      <c r="A708" s="5">
        <v>22797</v>
      </c>
      <c r="B708" s="79" t="e">
        <f>NA()</f>
        <v>#N/A</v>
      </c>
      <c r="C708" s="80" t="e">
        <v>#N/A</v>
      </c>
      <c r="D708" s="14">
        <f>52.2</f>
        <v>52.2</v>
      </c>
      <c r="E708" s="14" t="e">
        <f>NA()</f>
        <v>#N/A</v>
      </c>
      <c r="F708" s="14" t="e">
        <f>NA()</f>
        <v>#N/A</v>
      </c>
      <c r="G708" s="14" t="e">
        <f>NA()</f>
        <v>#N/A</v>
      </c>
      <c r="H708" s="14" t="e">
        <f>NA()</f>
        <v>#N/A</v>
      </c>
      <c r="I708" s="86" t="e">
        <f>NA()</f>
        <v>#N/A</v>
      </c>
      <c r="J708" s="87" t="e">
        <f>data비교작업!S711*100</f>
        <v>#N/A</v>
      </c>
      <c r="K708" s="85" t="e">
        <v>#N/A</v>
      </c>
    </row>
    <row r="709" spans="1:11" ht="18" customHeight="1" x14ac:dyDescent="0.25">
      <c r="A709" s="5">
        <v>22766</v>
      </c>
      <c r="B709" s="79" t="e">
        <f>NA()</f>
        <v>#N/A</v>
      </c>
      <c r="C709" s="80" t="e">
        <v>#N/A</v>
      </c>
      <c r="D709" s="14">
        <f>55.1</f>
        <v>55.1</v>
      </c>
      <c r="E709" s="14" t="e">
        <f>NA()</f>
        <v>#N/A</v>
      </c>
      <c r="F709" s="14" t="e">
        <f>NA()</f>
        <v>#N/A</v>
      </c>
      <c r="G709" s="14" t="e">
        <f>NA()</f>
        <v>#N/A</v>
      </c>
      <c r="H709" s="14" t="e">
        <f>NA()</f>
        <v>#N/A</v>
      </c>
      <c r="I709" s="86" t="e">
        <f>NA()</f>
        <v>#N/A</v>
      </c>
      <c r="J709" s="87" t="e">
        <f>data비교작업!S712*100</f>
        <v>#N/A</v>
      </c>
      <c r="K709" s="85" t="e">
        <v>#N/A</v>
      </c>
    </row>
    <row r="710" spans="1:11" ht="18" customHeight="1" x14ac:dyDescent="0.25">
      <c r="A710" s="5">
        <v>22736</v>
      </c>
      <c r="B710" s="79" t="e">
        <f>NA()</f>
        <v>#N/A</v>
      </c>
      <c r="C710" s="80" t="e">
        <v>#N/A</v>
      </c>
      <c r="D710" s="14">
        <f>60.6</f>
        <v>60.6</v>
      </c>
      <c r="E710" s="14" t="e">
        <f>NA()</f>
        <v>#N/A</v>
      </c>
      <c r="F710" s="14" t="e">
        <f>NA()</f>
        <v>#N/A</v>
      </c>
      <c r="G710" s="14" t="e">
        <f>NA()</f>
        <v>#N/A</v>
      </c>
      <c r="H710" s="14" t="e">
        <f>NA()</f>
        <v>#N/A</v>
      </c>
      <c r="I710" s="86" t="e">
        <f>NA()</f>
        <v>#N/A</v>
      </c>
      <c r="J710" s="87" t="e">
        <f>data비교작업!S713*100</f>
        <v>#N/A</v>
      </c>
      <c r="K710" s="85" t="e">
        <v>#N/A</v>
      </c>
    </row>
    <row r="711" spans="1:11" ht="18" customHeight="1" x14ac:dyDescent="0.25">
      <c r="A711" s="5">
        <v>22705</v>
      </c>
      <c r="B711" s="79" t="e">
        <f>NA()</f>
        <v>#N/A</v>
      </c>
      <c r="C711" s="80" t="e">
        <v>#N/A</v>
      </c>
      <c r="D711" s="14">
        <f>61.1</f>
        <v>61.1</v>
      </c>
      <c r="E711" s="14" t="e">
        <f>NA()</f>
        <v>#N/A</v>
      </c>
      <c r="F711" s="14" t="e">
        <f>NA()</f>
        <v>#N/A</v>
      </c>
      <c r="G711" s="14" t="e">
        <f>NA()</f>
        <v>#N/A</v>
      </c>
      <c r="H711" s="14" t="e">
        <f>NA()</f>
        <v>#N/A</v>
      </c>
      <c r="I711" s="86" t="e">
        <f>NA()</f>
        <v>#N/A</v>
      </c>
      <c r="J711" s="87" t="e">
        <f>data비교작업!S714*100</f>
        <v>#N/A</v>
      </c>
      <c r="K711" s="85" t="e">
        <v>#N/A</v>
      </c>
    </row>
    <row r="712" spans="1:11" ht="18" customHeight="1" x14ac:dyDescent="0.25">
      <c r="A712" s="5">
        <v>22677</v>
      </c>
      <c r="B712" s="79" t="e">
        <f>NA()</f>
        <v>#N/A</v>
      </c>
      <c r="C712" s="80" t="e">
        <v>#N/A</v>
      </c>
      <c r="D712" s="14">
        <f>60.9</f>
        <v>60.9</v>
      </c>
      <c r="E712" s="14" t="e">
        <f>NA()</f>
        <v>#N/A</v>
      </c>
      <c r="F712" s="14" t="e">
        <f>NA()</f>
        <v>#N/A</v>
      </c>
      <c r="G712" s="14" t="e">
        <f>NA()</f>
        <v>#N/A</v>
      </c>
      <c r="H712" s="14" t="e">
        <f>NA()</f>
        <v>#N/A</v>
      </c>
      <c r="I712" s="86" t="e">
        <f>NA()</f>
        <v>#N/A</v>
      </c>
      <c r="J712" s="87" t="e">
        <f>data비교작업!S715*100</f>
        <v>#N/A</v>
      </c>
      <c r="K712" s="85" t="e">
        <v>#N/A</v>
      </c>
    </row>
    <row r="713" spans="1:11" ht="18" customHeight="1" x14ac:dyDescent="0.25">
      <c r="A713" s="5">
        <v>22646</v>
      </c>
      <c r="B713" s="79" t="e">
        <f>NA()</f>
        <v>#N/A</v>
      </c>
      <c r="C713" s="80" t="e">
        <v>#N/A</v>
      </c>
      <c r="D713" s="14">
        <f>64.2</f>
        <v>64.2</v>
      </c>
      <c r="E713" s="14" t="e">
        <f>NA()</f>
        <v>#N/A</v>
      </c>
      <c r="F713" s="14" t="e">
        <f>NA()</f>
        <v>#N/A</v>
      </c>
      <c r="G713" s="14" t="e">
        <f>NA()</f>
        <v>#N/A</v>
      </c>
      <c r="H713" s="14" t="e">
        <f>NA()</f>
        <v>#N/A</v>
      </c>
      <c r="I713" s="86" t="e">
        <f>NA()</f>
        <v>#N/A</v>
      </c>
      <c r="J713" s="87" t="e">
        <f>data비교작업!S716*100</f>
        <v>#N/A</v>
      </c>
      <c r="K713" s="85" t="e">
        <v>#N/A</v>
      </c>
    </row>
    <row r="714" spans="1:11" ht="18" customHeight="1" x14ac:dyDescent="0.25">
      <c r="A714" s="5">
        <v>22615</v>
      </c>
      <c r="B714" s="79" t="e">
        <f>NA()</f>
        <v>#N/A</v>
      </c>
      <c r="C714" s="80" t="e">
        <v>#N/A</v>
      </c>
      <c r="D714" s="14">
        <f>59</f>
        <v>59</v>
      </c>
      <c r="E714" s="14" t="e">
        <f>NA()</f>
        <v>#N/A</v>
      </c>
      <c r="F714" s="14" t="e">
        <f>NA()</f>
        <v>#N/A</v>
      </c>
      <c r="G714" s="14" t="e">
        <f>NA()</f>
        <v>#N/A</v>
      </c>
      <c r="H714" s="14" t="e">
        <f>NA()</f>
        <v>#N/A</v>
      </c>
      <c r="I714" s="86" t="e">
        <f>NA()</f>
        <v>#N/A</v>
      </c>
      <c r="J714" s="87" t="e">
        <f>data비교작업!S717*100</f>
        <v>#N/A</v>
      </c>
      <c r="K714" s="85" t="e">
        <v>#N/A</v>
      </c>
    </row>
    <row r="715" spans="1:11" ht="18" customHeight="1" x14ac:dyDescent="0.25">
      <c r="A715" s="5">
        <v>22585</v>
      </c>
      <c r="B715" s="79" t="e">
        <f>NA()</f>
        <v>#N/A</v>
      </c>
      <c r="C715" s="80" t="e">
        <v>#N/A</v>
      </c>
      <c r="D715" s="14">
        <f>62.2</f>
        <v>62.2</v>
      </c>
      <c r="E715" s="14" t="e">
        <f>NA()</f>
        <v>#N/A</v>
      </c>
      <c r="F715" s="14" t="e">
        <f>NA()</f>
        <v>#N/A</v>
      </c>
      <c r="G715" s="14" t="e">
        <f>NA()</f>
        <v>#N/A</v>
      </c>
      <c r="H715" s="14" t="e">
        <f>NA()</f>
        <v>#N/A</v>
      </c>
      <c r="I715" s="86" t="e">
        <f>NA()</f>
        <v>#N/A</v>
      </c>
      <c r="J715" s="87" t="e">
        <f>data비교작업!S718*100</f>
        <v>#N/A</v>
      </c>
      <c r="K715" s="85" t="e">
        <v>#N/A</v>
      </c>
    </row>
    <row r="716" spans="1:11" ht="18" customHeight="1" x14ac:dyDescent="0.25">
      <c r="A716" s="5">
        <v>22554</v>
      </c>
      <c r="B716" s="79" t="e">
        <f>NA()</f>
        <v>#N/A</v>
      </c>
      <c r="C716" s="80" t="e">
        <v>#N/A</v>
      </c>
      <c r="D716" s="14">
        <f>63</f>
        <v>63</v>
      </c>
      <c r="E716" s="14" t="e">
        <f>NA()</f>
        <v>#N/A</v>
      </c>
      <c r="F716" s="14" t="e">
        <f>NA()</f>
        <v>#N/A</v>
      </c>
      <c r="G716" s="14" t="e">
        <f>NA()</f>
        <v>#N/A</v>
      </c>
      <c r="H716" s="14" t="e">
        <f>NA()</f>
        <v>#N/A</v>
      </c>
      <c r="I716" s="86" t="e">
        <f>NA()</f>
        <v>#N/A</v>
      </c>
      <c r="J716" s="87" t="e">
        <f>data비교작업!S719*100</f>
        <v>#N/A</v>
      </c>
      <c r="K716" s="85" t="e">
        <v>#N/A</v>
      </c>
    </row>
    <row r="717" spans="1:11" ht="18" customHeight="1" x14ac:dyDescent="0.25">
      <c r="A717" s="5">
        <v>22524</v>
      </c>
      <c r="B717" s="79" t="e">
        <f>NA()</f>
        <v>#N/A</v>
      </c>
      <c r="C717" s="80" t="e">
        <v>#N/A</v>
      </c>
      <c r="D717" s="14">
        <f>60.7</f>
        <v>60.7</v>
      </c>
      <c r="E717" s="14" t="e">
        <f>NA()</f>
        <v>#N/A</v>
      </c>
      <c r="F717" s="14" t="e">
        <f>NA()</f>
        <v>#N/A</v>
      </c>
      <c r="G717" s="14" t="e">
        <f>NA()</f>
        <v>#N/A</v>
      </c>
      <c r="H717" s="14" t="e">
        <f>NA()</f>
        <v>#N/A</v>
      </c>
      <c r="I717" s="86" t="e">
        <f>NA()</f>
        <v>#N/A</v>
      </c>
      <c r="J717" s="87" t="e">
        <f>data비교작업!S720*100</f>
        <v>#N/A</v>
      </c>
      <c r="K717" s="85" t="e">
        <v>#N/A</v>
      </c>
    </row>
    <row r="718" spans="1:11" ht="18" customHeight="1" x14ac:dyDescent="0.25">
      <c r="A718" s="5">
        <v>22493</v>
      </c>
      <c r="B718" s="79" t="e">
        <f>NA()</f>
        <v>#N/A</v>
      </c>
      <c r="C718" s="80" t="e">
        <v>#N/A</v>
      </c>
      <c r="D718" s="14">
        <f>58.2</f>
        <v>58.2</v>
      </c>
      <c r="E718" s="14" t="e">
        <f>NA()</f>
        <v>#N/A</v>
      </c>
      <c r="F718" s="14" t="e">
        <f>NA()</f>
        <v>#N/A</v>
      </c>
      <c r="G718" s="14" t="e">
        <f>NA()</f>
        <v>#N/A</v>
      </c>
      <c r="H718" s="14" t="e">
        <f>NA()</f>
        <v>#N/A</v>
      </c>
      <c r="I718" s="86" t="e">
        <f>NA()</f>
        <v>#N/A</v>
      </c>
      <c r="J718" s="87" t="e">
        <f>data비교작업!S721*100</f>
        <v>#N/A</v>
      </c>
      <c r="K718" s="85" t="e">
        <v>#N/A</v>
      </c>
    </row>
    <row r="719" spans="1:11" ht="18" customHeight="1" x14ac:dyDescent="0.25">
      <c r="A719" s="5">
        <v>22462</v>
      </c>
      <c r="B719" s="79" t="e">
        <f>NA()</f>
        <v>#N/A</v>
      </c>
      <c r="C719" s="80" t="e">
        <v>#N/A</v>
      </c>
      <c r="D719" s="14">
        <f>58.1</f>
        <v>58.1</v>
      </c>
      <c r="E719" s="14" t="e">
        <f>NA()</f>
        <v>#N/A</v>
      </c>
      <c r="F719" s="14" t="e">
        <f>NA()</f>
        <v>#N/A</v>
      </c>
      <c r="G719" s="14" t="e">
        <f>NA()</f>
        <v>#N/A</v>
      </c>
      <c r="H719" s="14" t="e">
        <f>NA()</f>
        <v>#N/A</v>
      </c>
      <c r="I719" s="86" t="e">
        <f>NA()</f>
        <v>#N/A</v>
      </c>
      <c r="J719" s="87" t="e">
        <f>data비교작업!S722*100</f>
        <v>#N/A</v>
      </c>
      <c r="K719" s="85" t="e">
        <v>#N/A</v>
      </c>
    </row>
    <row r="720" spans="1:11" ht="18" customHeight="1" x14ac:dyDescent="0.25">
      <c r="A720" s="5">
        <v>22432</v>
      </c>
      <c r="B720" s="79" t="e">
        <f>NA()</f>
        <v>#N/A</v>
      </c>
      <c r="C720" s="80" t="e">
        <v>#N/A</v>
      </c>
      <c r="D720" s="14">
        <f>58.9</f>
        <v>58.9</v>
      </c>
      <c r="E720" s="14" t="e">
        <f>NA()</f>
        <v>#N/A</v>
      </c>
      <c r="F720" s="14" t="e">
        <f>NA()</f>
        <v>#N/A</v>
      </c>
      <c r="G720" s="14" t="e">
        <f>NA()</f>
        <v>#N/A</v>
      </c>
      <c r="H720" s="14" t="e">
        <f>NA()</f>
        <v>#N/A</v>
      </c>
      <c r="I720" s="86" t="e">
        <f>NA()</f>
        <v>#N/A</v>
      </c>
      <c r="J720" s="87" t="e">
        <f>data비교작업!S723*100</f>
        <v>#N/A</v>
      </c>
      <c r="K720" s="85" t="e">
        <v>#N/A</v>
      </c>
    </row>
    <row r="721" spans="1:11" ht="18" customHeight="1" x14ac:dyDescent="0.25">
      <c r="A721" s="5">
        <v>22401</v>
      </c>
      <c r="B721" s="79" t="e">
        <f>NA()</f>
        <v>#N/A</v>
      </c>
      <c r="C721" s="80" t="e">
        <v>#N/A</v>
      </c>
      <c r="D721" s="14">
        <f>57.6</f>
        <v>57.6</v>
      </c>
      <c r="E721" s="14" t="e">
        <f>NA()</f>
        <v>#N/A</v>
      </c>
      <c r="F721" s="14" t="e">
        <f>NA()</f>
        <v>#N/A</v>
      </c>
      <c r="G721" s="14" t="e">
        <f>NA()</f>
        <v>#N/A</v>
      </c>
      <c r="H721" s="14" t="e">
        <f>NA()</f>
        <v>#N/A</v>
      </c>
      <c r="I721" s="86" t="e">
        <f>NA()</f>
        <v>#N/A</v>
      </c>
      <c r="J721" s="87" t="e">
        <f>data비교작업!S724*100</f>
        <v>#N/A</v>
      </c>
      <c r="K721" s="85" t="e">
        <v>#N/A</v>
      </c>
    </row>
    <row r="722" spans="1:11" ht="18" customHeight="1" x14ac:dyDescent="0.25">
      <c r="A722" s="5">
        <v>22371</v>
      </c>
      <c r="B722" s="79" t="e">
        <f>NA()</f>
        <v>#N/A</v>
      </c>
      <c r="C722" s="80" t="e">
        <v>#N/A</v>
      </c>
      <c r="D722" s="14">
        <f>49.1</f>
        <v>49.1</v>
      </c>
      <c r="E722" s="14" t="e">
        <f>NA()</f>
        <v>#N/A</v>
      </c>
      <c r="F722" s="14" t="e">
        <f>NA()</f>
        <v>#N/A</v>
      </c>
      <c r="G722" s="14" t="e">
        <f>NA()</f>
        <v>#N/A</v>
      </c>
      <c r="H722" s="14" t="e">
        <f>NA()</f>
        <v>#N/A</v>
      </c>
      <c r="I722" s="86" t="e">
        <f>NA()</f>
        <v>#N/A</v>
      </c>
      <c r="J722" s="87" t="e">
        <f>data비교작업!S725*100</f>
        <v>#N/A</v>
      </c>
      <c r="K722" s="85" t="e">
        <v>#N/A</v>
      </c>
    </row>
    <row r="723" spans="1:11" ht="18" customHeight="1" x14ac:dyDescent="0.25">
      <c r="A723" s="5">
        <v>22340</v>
      </c>
      <c r="B723" s="79" t="e">
        <f>NA()</f>
        <v>#N/A</v>
      </c>
      <c r="C723" s="80" t="e">
        <v>#N/A</v>
      </c>
      <c r="D723" s="14">
        <f>43.6</f>
        <v>43.6</v>
      </c>
      <c r="E723" s="14" t="e">
        <f>NA()</f>
        <v>#N/A</v>
      </c>
      <c r="F723" s="14" t="e">
        <f>NA()</f>
        <v>#N/A</v>
      </c>
      <c r="G723" s="14" t="e">
        <f>NA()</f>
        <v>#N/A</v>
      </c>
      <c r="H723" s="14" t="e">
        <f>NA()</f>
        <v>#N/A</v>
      </c>
      <c r="I723" s="86" t="e">
        <f>NA()</f>
        <v>#N/A</v>
      </c>
      <c r="J723" s="87" t="e">
        <f>data비교작업!S726*100</f>
        <v>#N/A</v>
      </c>
      <c r="K723" s="85" t="e">
        <v>#N/A</v>
      </c>
    </row>
    <row r="724" spans="1:11" ht="18" customHeight="1" x14ac:dyDescent="0.25">
      <c r="A724" s="5">
        <v>22312</v>
      </c>
      <c r="B724" s="79" t="e">
        <f>NA()</f>
        <v>#N/A</v>
      </c>
      <c r="C724" s="80" t="e">
        <v>#N/A</v>
      </c>
      <c r="D724" s="14">
        <f>43.9</f>
        <v>43.9</v>
      </c>
      <c r="E724" s="14" t="e">
        <f>NA()</f>
        <v>#N/A</v>
      </c>
      <c r="F724" s="14" t="e">
        <f>NA()</f>
        <v>#N/A</v>
      </c>
      <c r="G724" s="14" t="e">
        <f>NA()</f>
        <v>#N/A</v>
      </c>
      <c r="H724" s="14" t="e">
        <f>NA()</f>
        <v>#N/A</v>
      </c>
      <c r="I724" s="86" t="e">
        <f>NA()</f>
        <v>#N/A</v>
      </c>
      <c r="J724" s="87" t="e">
        <f>data비교작업!S727*100</f>
        <v>#N/A</v>
      </c>
      <c r="K724" s="85" t="e">
        <v>#N/A</v>
      </c>
    </row>
    <row r="725" spans="1:11" ht="18" customHeight="1" x14ac:dyDescent="0.25">
      <c r="A725" s="5">
        <v>22281</v>
      </c>
      <c r="B725" s="79" t="e">
        <f>NA()</f>
        <v>#N/A</v>
      </c>
      <c r="C725" s="80" t="e">
        <v>#N/A</v>
      </c>
      <c r="D725" s="14">
        <f>44.3</f>
        <v>44.3</v>
      </c>
      <c r="E725" s="14" t="e">
        <f>NA()</f>
        <v>#N/A</v>
      </c>
      <c r="F725" s="14" t="e">
        <f>NA()</f>
        <v>#N/A</v>
      </c>
      <c r="G725" s="14" t="e">
        <f>NA()</f>
        <v>#N/A</v>
      </c>
      <c r="H725" s="14" t="e">
        <f>NA()</f>
        <v>#N/A</v>
      </c>
      <c r="I725" s="86" t="e">
        <f>NA()</f>
        <v>#N/A</v>
      </c>
      <c r="J725" s="87" t="e">
        <f>data비교작업!S728*100</f>
        <v>#N/A</v>
      </c>
      <c r="K725" s="85" t="e">
        <v>#N/A</v>
      </c>
    </row>
    <row r="726" spans="1:11" ht="18" customHeight="1" x14ac:dyDescent="0.25">
      <c r="A726" s="5">
        <v>22250</v>
      </c>
      <c r="B726" s="79" t="e">
        <f>NA()</f>
        <v>#N/A</v>
      </c>
      <c r="C726" s="80" t="e">
        <v>#N/A</v>
      </c>
      <c r="D726" s="14">
        <f>44.3</f>
        <v>44.3</v>
      </c>
      <c r="E726" s="14" t="e">
        <f>NA()</f>
        <v>#N/A</v>
      </c>
      <c r="F726" s="14" t="e">
        <f>NA()</f>
        <v>#N/A</v>
      </c>
      <c r="G726" s="14" t="e">
        <f>NA()</f>
        <v>#N/A</v>
      </c>
      <c r="H726" s="14" t="e">
        <f>NA()</f>
        <v>#N/A</v>
      </c>
      <c r="I726" s="86" t="e">
        <f>NA()</f>
        <v>#N/A</v>
      </c>
      <c r="J726" s="87" t="e">
        <f>data비교작업!S729*100</f>
        <v>#N/A</v>
      </c>
      <c r="K726" s="85" t="e">
        <v>#N/A</v>
      </c>
    </row>
    <row r="727" spans="1:11" ht="18" customHeight="1" x14ac:dyDescent="0.25">
      <c r="A727" s="5">
        <v>22220</v>
      </c>
      <c r="B727" s="79" t="e">
        <f>NA()</f>
        <v>#N/A</v>
      </c>
      <c r="C727" s="80" t="e">
        <v>#N/A</v>
      </c>
      <c r="D727" s="14">
        <f>46</f>
        <v>46</v>
      </c>
      <c r="E727" s="14" t="e">
        <f>NA()</f>
        <v>#N/A</v>
      </c>
      <c r="F727" s="14" t="e">
        <f>NA()</f>
        <v>#N/A</v>
      </c>
      <c r="G727" s="14" t="e">
        <f>NA()</f>
        <v>#N/A</v>
      </c>
      <c r="H727" s="14" t="e">
        <f>NA()</f>
        <v>#N/A</v>
      </c>
      <c r="I727" s="86" t="e">
        <f>NA()</f>
        <v>#N/A</v>
      </c>
      <c r="J727" s="87" t="e">
        <f>data비교작업!S730*100</f>
        <v>#N/A</v>
      </c>
      <c r="K727" s="85" t="e">
        <v>#N/A</v>
      </c>
    </row>
    <row r="728" spans="1:11" ht="18" customHeight="1" x14ac:dyDescent="0.25">
      <c r="A728" s="5">
        <v>22189</v>
      </c>
      <c r="B728" s="79" t="e">
        <f>NA()</f>
        <v>#N/A</v>
      </c>
      <c r="C728" s="80" t="e">
        <v>#N/A</v>
      </c>
      <c r="D728" s="14">
        <f>45.4</f>
        <v>45.4</v>
      </c>
      <c r="E728" s="14" t="e">
        <f>NA()</f>
        <v>#N/A</v>
      </c>
      <c r="F728" s="14" t="e">
        <f>NA()</f>
        <v>#N/A</v>
      </c>
      <c r="G728" s="14" t="e">
        <f>NA()</f>
        <v>#N/A</v>
      </c>
      <c r="H728" s="14" t="e">
        <f>NA()</f>
        <v>#N/A</v>
      </c>
      <c r="I728" s="86" t="e">
        <f>NA()</f>
        <v>#N/A</v>
      </c>
      <c r="J728" s="87" t="e">
        <f>data비교작업!S731*100</f>
        <v>#N/A</v>
      </c>
      <c r="K728" s="85" t="e">
        <v>#N/A</v>
      </c>
    </row>
    <row r="729" spans="1:11" ht="18" customHeight="1" x14ac:dyDescent="0.25">
      <c r="A729" s="5">
        <v>22159</v>
      </c>
      <c r="B729" s="79" t="e">
        <f>NA()</f>
        <v>#N/A</v>
      </c>
      <c r="C729" s="80" t="e">
        <v>#N/A</v>
      </c>
      <c r="D729" s="14">
        <f>47.6</f>
        <v>47.6</v>
      </c>
      <c r="E729" s="14" t="e">
        <f>NA()</f>
        <v>#N/A</v>
      </c>
      <c r="F729" s="14" t="e">
        <f>NA()</f>
        <v>#N/A</v>
      </c>
      <c r="G729" s="14" t="e">
        <f>NA()</f>
        <v>#N/A</v>
      </c>
      <c r="H729" s="14" t="e">
        <f>NA()</f>
        <v>#N/A</v>
      </c>
      <c r="I729" s="86" t="e">
        <f>NA()</f>
        <v>#N/A</v>
      </c>
      <c r="J729" s="87" t="e">
        <f>data비교작업!S732*100</f>
        <v>#N/A</v>
      </c>
      <c r="K729" s="85" t="e">
        <v>#N/A</v>
      </c>
    </row>
    <row r="730" spans="1:11" ht="18" customHeight="1" x14ac:dyDescent="0.25">
      <c r="A730" s="5">
        <v>22128</v>
      </c>
      <c r="B730" s="79" t="e">
        <f>NA()</f>
        <v>#N/A</v>
      </c>
      <c r="C730" s="80" t="e">
        <v>#N/A</v>
      </c>
      <c r="D730" s="14">
        <f>43.7</f>
        <v>43.7</v>
      </c>
      <c r="E730" s="14" t="e">
        <f>NA()</f>
        <v>#N/A</v>
      </c>
      <c r="F730" s="14" t="e">
        <f>NA()</f>
        <v>#N/A</v>
      </c>
      <c r="G730" s="14" t="e">
        <f>NA()</f>
        <v>#N/A</v>
      </c>
      <c r="H730" s="14" t="e">
        <f>NA()</f>
        <v>#N/A</v>
      </c>
      <c r="I730" s="86" t="e">
        <f>NA()</f>
        <v>#N/A</v>
      </c>
      <c r="J730" s="87" t="e">
        <f>data비교작업!S733*100</f>
        <v>#N/A</v>
      </c>
      <c r="K730" s="85" t="e">
        <v>#N/A</v>
      </c>
    </row>
    <row r="731" spans="1:11" ht="18" customHeight="1" x14ac:dyDescent="0.25">
      <c r="A731" s="5">
        <v>22097</v>
      </c>
      <c r="B731" s="79" t="e">
        <f>NA()</f>
        <v>#N/A</v>
      </c>
      <c r="C731" s="80" t="e">
        <v>#N/A</v>
      </c>
      <c r="D731" s="14">
        <f>44.4</f>
        <v>44.4</v>
      </c>
      <c r="E731" s="14" t="e">
        <f>NA()</f>
        <v>#N/A</v>
      </c>
      <c r="F731" s="14" t="e">
        <f>NA()</f>
        <v>#N/A</v>
      </c>
      <c r="G731" s="14" t="e">
        <f>NA()</f>
        <v>#N/A</v>
      </c>
      <c r="H731" s="14" t="e">
        <f>NA()</f>
        <v>#N/A</v>
      </c>
      <c r="I731" s="86" t="e">
        <f>NA()</f>
        <v>#N/A</v>
      </c>
      <c r="J731" s="87" t="e">
        <f>data비교작업!S734*100</f>
        <v>#N/A</v>
      </c>
      <c r="K731" s="85" t="e">
        <v>#N/A</v>
      </c>
    </row>
    <row r="732" spans="1:11" ht="18" customHeight="1" x14ac:dyDescent="0.25">
      <c r="A732" s="5">
        <v>22067</v>
      </c>
      <c r="B732" s="79" t="e">
        <f>NA()</f>
        <v>#N/A</v>
      </c>
      <c r="C732" s="80" t="e">
        <v>#N/A</v>
      </c>
      <c r="D732" s="14">
        <f>42.6</f>
        <v>42.6</v>
      </c>
      <c r="E732" s="14" t="e">
        <f>NA()</f>
        <v>#N/A</v>
      </c>
      <c r="F732" s="14" t="e">
        <f>NA()</f>
        <v>#N/A</v>
      </c>
      <c r="G732" s="14" t="e">
        <f>NA()</f>
        <v>#N/A</v>
      </c>
      <c r="H732" s="14" t="e">
        <f>NA()</f>
        <v>#N/A</v>
      </c>
      <c r="I732" s="86" t="e">
        <f>NA()</f>
        <v>#N/A</v>
      </c>
      <c r="J732" s="87" t="e">
        <f>data비교작업!S735*100</f>
        <v>#N/A</v>
      </c>
      <c r="K732" s="85" t="e">
        <v>#N/A</v>
      </c>
    </row>
    <row r="733" spans="1:11" ht="18" customHeight="1" x14ac:dyDescent="0.25">
      <c r="A733" s="5">
        <v>22036</v>
      </c>
      <c r="B733" s="79" t="e">
        <f>NA()</f>
        <v>#N/A</v>
      </c>
      <c r="C733" s="80" t="e">
        <v>#N/A</v>
      </c>
      <c r="D733" s="14">
        <f>45.3</f>
        <v>45.3</v>
      </c>
      <c r="E733" s="14" t="e">
        <f>NA()</f>
        <v>#N/A</v>
      </c>
      <c r="F733" s="14" t="e">
        <f>NA()</f>
        <v>#N/A</v>
      </c>
      <c r="G733" s="14" t="e">
        <f>NA()</f>
        <v>#N/A</v>
      </c>
      <c r="H733" s="14" t="e">
        <f>NA()</f>
        <v>#N/A</v>
      </c>
      <c r="I733" s="86" t="e">
        <f>NA()</f>
        <v>#N/A</v>
      </c>
      <c r="J733" s="87" t="e">
        <f>data비교작업!S736*100</f>
        <v>#N/A</v>
      </c>
      <c r="K733" s="85" t="e">
        <v>#N/A</v>
      </c>
    </row>
    <row r="734" spans="1:11" ht="18" customHeight="1" x14ac:dyDescent="0.25">
      <c r="A734" s="5">
        <v>22006</v>
      </c>
      <c r="B734" s="79" t="e">
        <f>NA()</f>
        <v>#N/A</v>
      </c>
      <c r="C734" s="80" t="e">
        <v>#N/A</v>
      </c>
      <c r="D734" s="14">
        <f>47.8</f>
        <v>47.8</v>
      </c>
      <c r="E734" s="14" t="e">
        <f>NA()</f>
        <v>#N/A</v>
      </c>
      <c r="F734" s="14" t="e">
        <f>NA()</f>
        <v>#N/A</v>
      </c>
      <c r="G734" s="14" t="e">
        <f>NA()</f>
        <v>#N/A</v>
      </c>
      <c r="H734" s="14" t="e">
        <f>NA()</f>
        <v>#N/A</v>
      </c>
      <c r="I734" s="86" t="e">
        <f>NA()</f>
        <v>#N/A</v>
      </c>
      <c r="J734" s="87" t="e">
        <f>data비교작업!S737*100</f>
        <v>#N/A</v>
      </c>
      <c r="K734" s="85" t="e">
        <v>#N/A</v>
      </c>
    </row>
    <row r="735" spans="1:11" ht="18" customHeight="1" x14ac:dyDescent="0.25">
      <c r="A735" s="5">
        <v>21975</v>
      </c>
      <c r="B735" s="79" t="e">
        <f>NA()</f>
        <v>#N/A</v>
      </c>
      <c r="C735" s="80" t="e">
        <v>#N/A</v>
      </c>
      <c r="D735" s="14">
        <f>52.3</f>
        <v>52.3</v>
      </c>
      <c r="E735" s="14" t="e">
        <f>NA()</f>
        <v>#N/A</v>
      </c>
      <c r="F735" s="14" t="e">
        <f>NA()</f>
        <v>#N/A</v>
      </c>
      <c r="G735" s="14" t="e">
        <f>NA()</f>
        <v>#N/A</v>
      </c>
      <c r="H735" s="14" t="e">
        <f>NA()</f>
        <v>#N/A</v>
      </c>
      <c r="I735" s="86" t="e">
        <f>NA()</f>
        <v>#N/A</v>
      </c>
      <c r="J735" s="87" t="e">
        <f>data비교작업!S738*100</f>
        <v>#N/A</v>
      </c>
      <c r="K735" s="85" t="e">
        <v>#N/A</v>
      </c>
    </row>
    <row r="736" spans="1:11" ht="18" customHeight="1" x14ac:dyDescent="0.25">
      <c r="A736" s="5">
        <v>21946</v>
      </c>
      <c r="B736" s="79" t="e">
        <f>NA()</f>
        <v>#N/A</v>
      </c>
      <c r="C736" s="80" t="e">
        <v>#N/A</v>
      </c>
      <c r="D736" s="14">
        <f>61.5</f>
        <v>61.5</v>
      </c>
      <c r="E736" s="14" t="e">
        <f>NA()</f>
        <v>#N/A</v>
      </c>
      <c r="F736" s="14" t="e">
        <f>NA()</f>
        <v>#N/A</v>
      </c>
      <c r="G736" s="14" t="e">
        <f>NA()</f>
        <v>#N/A</v>
      </c>
      <c r="H736" s="14" t="e">
        <f>NA()</f>
        <v>#N/A</v>
      </c>
      <c r="I736" s="86" t="e">
        <f>NA()</f>
        <v>#N/A</v>
      </c>
      <c r="J736" s="87" t="e">
        <f>data비교작업!S739*100</f>
        <v>#N/A</v>
      </c>
      <c r="K736" s="85" t="e">
        <v>#N/A</v>
      </c>
    </row>
    <row r="737" spans="1:11" ht="18" customHeight="1" x14ac:dyDescent="0.25">
      <c r="A737" s="5">
        <v>21915</v>
      </c>
      <c r="B737" s="79" t="e">
        <f>NA()</f>
        <v>#N/A</v>
      </c>
      <c r="C737" s="80" t="e">
        <v>#N/A</v>
      </c>
      <c r="D737" s="14">
        <f>58.2</f>
        <v>58.2</v>
      </c>
      <c r="E737" s="14" t="e">
        <f>NA()</f>
        <v>#N/A</v>
      </c>
      <c r="F737" s="14" t="e">
        <f>NA()</f>
        <v>#N/A</v>
      </c>
      <c r="G737" s="14" t="e">
        <f>NA()</f>
        <v>#N/A</v>
      </c>
      <c r="H737" s="14" t="e">
        <f>NA()</f>
        <v>#N/A</v>
      </c>
      <c r="I737" s="86" t="e">
        <f>NA()</f>
        <v>#N/A</v>
      </c>
      <c r="J737" s="87" t="e">
        <f>data비교작업!S740*100</f>
        <v>#N/A</v>
      </c>
      <c r="K737" s="85" t="e">
        <v>#N/A</v>
      </c>
    </row>
    <row r="738" spans="1:11" ht="18" customHeight="1" x14ac:dyDescent="0.25">
      <c r="A738" s="5">
        <v>21884</v>
      </c>
      <c r="B738" s="79" t="e">
        <f>NA()</f>
        <v>#N/A</v>
      </c>
      <c r="C738" s="80" t="e">
        <v>#N/A</v>
      </c>
      <c r="D738" s="14">
        <f>50.6</f>
        <v>50.6</v>
      </c>
      <c r="E738" s="14" t="e">
        <f>NA()</f>
        <v>#N/A</v>
      </c>
      <c r="F738" s="14" t="e">
        <f>NA()</f>
        <v>#N/A</v>
      </c>
      <c r="G738" s="14" t="e">
        <f>NA()</f>
        <v>#N/A</v>
      </c>
      <c r="H738" s="14" t="e">
        <f>NA()</f>
        <v>#N/A</v>
      </c>
      <c r="I738" s="86" t="e">
        <f>NA()</f>
        <v>#N/A</v>
      </c>
      <c r="J738" s="87" t="e">
        <f>data비교작업!S741*100</f>
        <v>#N/A</v>
      </c>
      <c r="K738" s="85" t="e">
        <v>#N/A</v>
      </c>
    </row>
    <row r="739" spans="1:11" ht="18" customHeight="1" x14ac:dyDescent="0.25">
      <c r="A739" s="5">
        <v>21854</v>
      </c>
      <c r="B739" s="79" t="e">
        <f>NA()</f>
        <v>#N/A</v>
      </c>
      <c r="C739" s="80" t="e">
        <v>#N/A</v>
      </c>
      <c r="D739" s="14">
        <f>49.7</f>
        <v>49.7</v>
      </c>
      <c r="E739" s="14" t="e">
        <f>NA()</f>
        <v>#N/A</v>
      </c>
      <c r="F739" s="14" t="e">
        <f>NA()</f>
        <v>#N/A</v>
      </c>
      <c r="G739" s="14" t="e">
        <f>NA()</f>
        <v>#N/A</v>
      </c>
      <c r="H739" s="14" t="e">
        <f>NA()</f>
        <v>#N/A</v>
      </c>
      <c r="I739" s="86" t="e">
        <f>NA()</f>
        <v>#N/A</v>
      </c>
      <c r="J739" s="87" t="e">
        <f>data비교작업!S742*100</f>
        <v>#N/A</v>
      </c>
      <c r="K739" s="85" t="e">
        <v>#N/A</v>
      </c>
    </row>
    <row r="740" spans="1:11" ht="18" customHeight="1" x14ac:dyDescent="0.25">
      <c r="A740" s="5">
        <v>21823</v>
      </c>
      <c r="B740" s="79" t="e">
        <f>NA()</f>
        <v>#N/A</v>
      </c>
      <c r="C740" s="80" t="e">
        <v>#N/A</v>
      </c>
      <c r="D740" s="14">
        <f>48.3</f>
        <v>48.3</v>
      </c>
      <c r="E740" s="14" t="e">
        <f>NA()</f>
        <v>#N/A</v>
      </c>
      <c r="F740" s="14" t="e">
        <f>NA()</f>
        <v>#N/A</v>
      </c>
      <c r="G740" s="14" t="e">
        <f>NA()</f>
        <v>#N/A</v>
      </c>
      <c r="H740" s="14" t="e">
        <f>NA()</f>
        <v>#N/A</v>
      </c>
      <c r="I740" s="86" t="e">
        <f>NA()</f>
        <v>#N/A</v>
      </c>
      <c r="J740" s="87" t="e">
        <f>data비교작업!S743*100</f>
        <v>#N/A</v>
      </c>
      <c r="K740" s="85" t="e">
        <v>#N/A</v>
      </c>
    </row>
    <row r="741" spans="1:11" ht="18" customHeight="1" x14ac:dyDescent="0.25">
      <c r="A741" s="5">
        <v>21793</v>
      </c>
      <c r="B741" s="79" t="e">
        <f>NA()</f>
        <v>#N/A</v>
      </c>
      <c r="C741" s="80" t="e">
        <v>#N/A</v>
      </c>
      <c r="D741" s="14">
        <f>55.1</f>
        <v>55.1</v>
      </c>
      <c r="E741" s="14" t="e">
        <f>NA()</f>
        <v>#N/A</v>
      </c>
      <c r="F741" s="14" t="e">
        <f>NA()</f>
        <v>#N/A</v>
      </c>
      <c r="G741" s="14" t="e">
        <f>NA()</f>
        <v>#N/A</v>
      </c>
      <c r="H741" s="14" t="e">
        <f>NA()</f>
        <v>#N/A</v>
      </c>
      <c r="I741" s="86" t="e">
        <f>NA()</f>
        <v>#N/A</v>
      </c>
      <c r="J741" s="87" t="e">
        <f>data비교작업!S744*100</f>
        <v>#N/A</v>
      </c>
      <c r="K741" s="85" t="e">
        <v>#N/A</v>
      </c>
    </row>
    <row r="742" spans="1:11" ht="18" customHeight="1" x14ac:dyDescent="0.25">
      <c r="A742" s="5">
        <v>21762</v>
      </c>
      <c r="B742" s="79" t="e">
        <f>NA()</f>
        <v>#N/A</v>
      </c>
      <c r="C742" s="80" t="e">
        <v>#N/A</v>
      </c>
      <c r="D742" s="14">
        <f>61.5</f>
        <v>61.5</v>
      </c>
      <c r="E742" s="14" t="e">
        <f>NA()</f>
        <v>#N/A</v>
      </c>
      <c r="F742" s="14" t="e">
        <f>NA()</f>
        <v>#N/A</v>
      </c>
      <c r="G742" s="14" t="e">
        <f>NA()</f>
        <v>#N/A</v>
      </c>
      <c r="H742" s="14" t="e">
        <f>NA()</f>
        <v>#N/A</v>
      </c>
      <c r="I742" s="86" t="e">
        <f>NA()</f>
        <v>#N/A</v>
      </c>
      <c r="J742" s="87" t="e">
        <f>data비교작업!S745*100</f>
        <v>#N/A</v>
      </c>
      <c r="K742" s="85" t="e">
        <v>#N/A</v>
      </c>
    </row>
    <row r="743" spans="1:11" ht="18" customHeight="1" x14ac:dyDescent="0.25">
      <c r="A743" s="5">
        <v>21731</v>
      </c>
      <c r="B743" s="79" t="e">
        <f>NA()</f>
        <v>#N/A</v>
      </c>
      <c r="C743" s="80" t="e">
        <v>#N/A</v>
      </c>
      <c r="D743" s="14">
        <f>64.4</f>
        <v>64.400000000000006</v>
      </c>
      <c r="E743" s="14" t="e">
        <f>NA()</f>
        <v>#N/A</v>
      </c>
      <c r="F743" s="14" t="e">
        <f>NA()</f>
        <v>#N/A</v>
      </c>
      <c r="G743" s="14" t="e">
        <f>NA()</f>
        <v>#N/A</v>
      </c>
      <c r="H743" s="14" t="e">
        <f>NA()</f>
        <v>#N/A</v>
      </c>
      <c r="I743" s="86" t="e">
        <f>NA()</f>
        <v>#N/A</v>
      </c>
      <c r="J743" s="87" t="e">
        <f>data비교작업!S746*100</f>
        <v>#N/A</v>
      </c>
      <c r="K743" s="85" t="e">
        <v>#N/A</v>
      </c>
    </row>
    <row r="744" spans="1:11" ht="18" customHeight="1" x14ac:dyDescent="0.25">
      <c r="A744" s="5">
        <v>21701</v>
      </c>
      <c r="B744" s="79" t="e">
        <f>NA()</f>
        <v>#N/A</v>
      </c>
      <c r="C744" s="80" t="e">
        <v>#N/A</v>
      </c>
      <c r="D744" s="14">
        <f>68.2</f>
        <v>68.2</v>
      </c>
      <c r="E744" s="14" t="e">
        <f>NA()</f>
        <v>#N/A</v>
      </c>
      <c r="F744" s="14" t="e">
        <f>NA()</f>
        <v>#N/A</v>
      </c>
      <c r="G744" s="14" t="e">
        <f>NA()</f>
        <v>#N/A</v>
      </c>
      <c r="H744" s="14" t="e">
        <f>NA()</f>
        <v>#N/A</v>
      </c>
      <c r="I744" s="86" t="e">
        <f>NA()</f>
        <v>#N/A</v>
      </c>
      <c r="J744" s="87" t="e">
        <f>data비교작업!S747*100</f>
        <v>#N/A</v>
      </c>
      <c r="K744" s="85" t="e">
        <v>#N/A</v>
      </c>
    </row>
    <row r="745" spans="1:11" ht="18" customHeight="1" x14ac:dyDescent="0.25">
      <c r="A745" s="5">
        <v>21670</v>
      </c>
      <c r="B745" s="79" t="e">
        <f>NA()</f>
        <v>#N/A</v>
      </c>
      <c r="C745" s="80" t="e">
        <v>#N/A</v>
      </c>
      <c r="D745" s="14">
        <f>66.9</f>
        <v>66.900000000000006</v>
      </c>
      <c r="E745" s="14" t="e">
        <f>NA()</f>
        <v>#N/A</v>
      </c>
      <c r="F745" s="14" t="e">
        <f>NA()</f>
        <v>#N/A</v>
      </c>
      <c r="G745" s="14" t="e">
        <f>NA()</f>
        <v>#N/A</v>
      </c>
      <c r="H745" s="14" t="e">
        <f>NA()</f>
        <v>#N/A</v>
      </c>
      <c r="I745" s="86" t="e">
        <f>NA()</f>
        <v>#N/A</v>
      </c>
      <c r="J745" s="87" t="e">
        <f>data비교작업!S748*100</f>
        <v>#N/A</v>
      </c>
      <c r="K745" s="85" t="e">
        <v>#N/A</v>
      </c>
    </row>
    <row r="746" spans="1:11" ht="18" customHeight="1" x14ac:dyDescent="0.25">
      <c r="A746" s="5">
        <v>21640</v>
      </c>
      <c r="B746" s="79" t="e">
        <f>NA()</f>
        <v>#N/A</v>
      </c>
      <c r="C746" s="80" t="e">
        <v>#N/A</v>
      </c>
      <c r="D746" s="14">
        <f>67.1</f>
        <v>67.099999999999994</v>
      </c>
      <c r="E746" s="14" t="e">
        <f>NA()</f>
        <v>#N/A</v>
      </c>
      <c r="F746" s="14" t="e">
        <f>NA()</f>
        <v>#N/A</v>
      </c>
      <c r="G746" s="14" t="e">
        <f>NA()</f>
        <v>#N/A</v>
      </c>
      <c r="H746" s="14" t="e">
        <f>NA()</f>
        <v>#N/A</v>
      </c>
      <c r="I746" s="86" t="e">
        <f>NA()</f>
        <v>#N/A</v>
      </c>
      <c r="J746" s="87" t="e">
        <f>data비교작업!S749*100</f>
        <v>#N/A</v>
      </c>
      <c r="K746" s="85" t="e">
        <v>#N/A</v>
      </c>
    </row>
    <row r="747" spans="1:11" ht="18" customHeight="1" x14ac:dyDescent="0.25">
      <c r="A747" s="5">
        <v>21609</v>
      </c>
      <c r="B747" s="79" t="e">
        <f>NA()</f>
        <v>#N/A</v>
      </c>
      <c r="C747" s="80" t="e">
        <v>#N/A</v>
      </c>
      <c r="D747" s="14">
        <f>66.9</f>
        <v>66.900000000000006</v>
      </c>
      <c r="E747" s="14" t="e">
        <f>NA()</f>
        <v>#N/A</v>
      </c>
      <c r="F747" s="14" t="e">
        <f>NA()</f>
        <v>#N/A</v>
      </c>
      <c r="G747" s="14" t="e">
        <f>NA()</f>
        <v>#N/A</v>
      </c>
      <c r="H747" s="14" t="e">
        <f>NA()</f>
        <v>#N/A</v>
      </c>
      <c r="I747" s="86" t="e">
        <f>NA()</f>
        <v>#N/A</v>
      </c>
      <c r="J747" s="87" t="e">
        <f>data비교작업!S750*100</f>
        <v>#N/A</v>
      </c>
      <c r="K747" s="85" t="e">
        <v>#N/A</v>
      </c>
    </row>
    <row r="748" spans="1:11" ht="18" customHeight="1" x14ac:dyDescent="0.25">
      <c r="A748" s="5">
        <v>21581</v>
      </c>
      <c r="B748" s="79" t="e">
        <f>NA()</f>
        <v>#N/A</v>
      </c>
      <c r="C748" s="80" t="e">
        <v>#N/A</v>
      </c>
      <c r="D748" s="14">
        <f>64.4</f>
        <v>64.400000000000006</v>
      </c>
      <c r="E748" s="14" t="e">
        <f>NA()</f>
        <v>#N/A</v>
      </c>
      <c r="F748" s="14" t="e">
        <f>NA()</f>
        <v>#N/A</v>
      </c>
      <c r="G748" s="14" t="e">
        <f>NA()</f>
        <v>#N/A</v>
      </c>
      <c r="H748" s="14" t="e">
        <f>NA()</f>
        <v>#N/A</v>
      </c>
      <c r="I748" s="86" t="e">
        <f>NA()</f>
        <v>#N/A</v>
      </c>
      <c r="J748" s="87" t="e">
        <f>data비교작업!S751*100</f>
        <v>#N/A</v>
      </c>
      <c r="K748" s="85" t="e">
        <v>#N/A</v>
      </c>
    </row>
    <row r="749" spans="1:11" ht="18" customHeight="1" x14ac:dyDescent="0.25">
      <c r="A749" s="5">
        <v>21550</v>
      </c>
      <c r="B749" s="79" t="e">
        <f>NA()</f>
        <v>#N/A</v>
      </c>
      <c r="C749" s="80" t="e">
        <v>#N/A</v>
      </c>
      <c r="D749" s="14">
        <f>60.5</f>
        <v>60.5</v>
      </c>
      <c r="E749" s="14" t="e">
        <f>NA()</f>
        <v>#N/A</v>
      </c>
      <c r="F749" s="14" t="e">
        <f>NA()</f>
        <v>#N/A</v>
      </c>
      <c r="G749" s="14" t="e">
        <f>NA()</f>
        <v>#N/A</v>
      </c>
      <c r="H749" s="14" t="e">
        <f>NA()</f>
        <v>#N/A</v>
      </c>
      <c r="I749" s="86" t="e">
        <f>NA()</f>
        <v>#N/A</v>
      </c>
      <c r="J749" s="87" t="e">
        <f>data비교작업!S752*100</f>
        <v>#N/A</v>
      </c>
      <c r="K749" s="85" t="e">
        <v>#N/A</v>
      </c>
    </row>
    <row r="750" spans="1:11" ht="18" customHeight="1" x14ac:dyDescent="0.25">
      <c r="A750" s="5">
        <v>21519</v>
      </c>
      <c r="B750" s="79" t="e">
        <f>NA()</f>
        <v>#N/A</v>
      </c>
      <c r="C750" s="80" t="e">
        <v>#N/A</v>
      </c>
      <c r="D750" s="14">
        <f>62.7</f>
        <v>62.7</v>
      </c>
      <c r="E750" s="14" t="e">
        <f>NA()</f>
        <v>#N/A</v>
      </c>
      <c r="F750" s="14" t="e">
        <f>NA()</f>
        <v>#N/A</v>
      </c>
      <c r="G750" s="14" t="e">
        <f>NA()</f>
        <v>#N/A</v>
      </c>
      <c r="H750" s="14" t="e">
        <f>NA()</f>
        <v>#N/A</v>
      </c>
      <c r="I750" s="86" t="e">
        <f>NA()</f>
        <v>#N/A</v>
      </c>
      <c r="J750" s="87" t="e">
        <f>data비교작업!S753*100</f>
        <v>#N/A</v>
      </c>
      <c r="K750" s="85" t="e">
        <v>#N/A</v>
      </c>
    </row>
    <row r="751" spans="1:11" ht="18" customHeight="1" x14ac:dyDescent="0.25">
      <c r="A751" s="5">
        <v>21489</v>
      </c>
      <c r="B751" s="79" t="e">
        <f>NA()</f>
        <v>#N/A</v>
      </c>
      <c r="C751" s="80" t="e">
        <v>#N/A</v>
      </c>
      <c r="D751" s="14">
        <f>62.3</f>
        <v>62.3</v>
      </c>
      <c r="E751" s="14" t="e">
        <f>NA()</f>
        <v>#N/A</v>
      </c>
      <c r="F751" s="14" t="e">
        <f>NA()</f>
        <v>#N/A</v>
      </c>
      <c r="G751" s="14" t="e">
        <f>NA()</f>
        <v>#N/A</v>
      </c>
      <c r="H751" s="14" t="e">
        <f>NA()</f>
        <v>#N/A</v>
      </c>
      <c r="I751" s="86" t="e">
        <f>NA()</f>
        <v>#N/A</v>
      </c>
      <c r="J751" s="87" t="e">
        <f>data비교작업!S754*100</f>
        <v>#N/A</v>
      </c>
      <c r="K751" s="85" t="e">
        <v>#N/A</v>
      </c>
    </row>
    <row r="752" spans="1:11" ht="18" customHeight="1" x14ac:dyDescent="0.25">
      <c r="A752" s="5">
        <v>21458</v>
      </c>
      <c r="B752" s="79" t="e">
        <f>NA()</f>
        <v>#N/A</v>
      </c>
      <c r="C752" s="80" t="e">
        <v>#N/A</v>
      </c>
      <c r="D752" s="14">
        <f>59.8</f>
        <v>59.8</v>
      </c>
      <c r="E752" s="14" t="e">
        <f>NA()</f>
        <v>#N/A</v>
      </c>
      <c r="F752" s="14" t="e">
        <f>NA()</f>
        <v>#N/A</v>
      </c>
      <c r="G752" s="14" t="e">
        <f>NA()</f>
        <v>#N/A</v>
      </c>
      <c r="H752" s="14" t="e">
        <f>NA()</f>
        <v>#N/A</v>
      </c>
      <c r="I752" s="86" t="e">
        <f>NA()</f>
        <v>#N/A</v>
      </c>
      <c r="J752" s="87" t="e">
        <f>data비교작업!S755*100</f>
        <v>#N/A</v>
      </c>
      <c r="K752" s="85" t="e">
        <v>#N/A</v>
      </c>
    </row>
    <row r="753" spans="1:11" ht="18" customHeight="1" x14ac:dyDescent="0.25">
      <c r="A753" s="5">
        <v>21428</v>
      </c>
      <c r="B753" s="79" t="e">
        <f>NA()</f>
        <v>#N/A</v>
      </c>
      <c r="C753" s="80" t="e">
        <v>#N/A</v>
      </c>
      <c r="D753" s="14">
        <f>57.3</f>
        <v>57.3</v>
      </c>
      <c r="E753" s="14" t="e">
        <f>NA()</f>
        <v>#N/A</v>
      </c>
      <c r="F753" s="14" t="e">
        <f>NA()</f>
        <v>#N/A</v>
      </c>
      <c r="G753" s="14" t="e">
        <f>NA()</f>
        <v>#N/A</v>
      </c>
      <c r="H753" s="14" t="e">
        <f>NA()</f>
        <v>#N/A</v>
      </c>
      <c r="I753" s="86" t="e">
        <f>NA()</f>
        <v>#N/A</v>
      </c>
      <c r="J753" s="87" t="e">
        <f>data비교작업!S756*100</f>
        <v>#N/A</v>
      </c>
      <c r="K753" s="85" t="e">
        <v>#N/A</v>
      </c>
    </row>
    <row r="754" spans="1:11" ht="18" customHeight="1" x14ac:dyDescent="0.25">
      <c r="A754" s="5">
        <v>21397</v>
      </c>
      <c r="B754" s="79" t="e">
        <f>NA()</f>
        <v>#N/A</v>
      </c>
      <c r="C754" s="80" t="e">
        <v>#N/A</v>
      </c>
      <c r="D754" s="14">
        <f>54.7</f>
        <v>54.7</v>
      </c>
      <c r="E754" s="14" t="e">
        <f>NA()</f>
        <v>#N/A</v>
      </c>
      <c r="F754" s="14" t="e">
        <f>NA()</f>
        <v>#N/A</v>
      </c>
      <c r="G754" s="14" t="e">
        <f>NA()</f>
        <v>#N/A</v>
      </c>
      <c r="H754" s="14" t="e">
        <f>NA()</f>
        <v>#N/A</v>
      </c>
      <c r="I754" s="86" t="e">
        <f>NA()</f>
        <v>#N/A</v>
      </c>
      <c r="J754" s="87" t="e">
        <f>data비교작업!S757*100</f>
        <v>#N/A</v>
      </c>
      <c r="K754" s="85" t="e">
        <v>#N/A</v>
      </c>
    </row>
    <row r="755" spans="1:11" ht="18" customHeight="1" x14ac:dyDescent="0.25">
      <c r="A755" s="5">
        <v>21366</v>
      </c>
      <c r="B755" s="79" t="e">
        <f>NA()</f>
        <v>#N/A</v>
      </c>
      <c r="C755" s="80" t="e">
        <v>#N/A</v>
      </c>
      <c r="D755" s="14">
        <f>51.4</f>
        <v>51.4</v>
      </c>
      <c r="E755" s="14" t="e">
        <f>NA()</f>
        <v>#N/A</v>
      </c>
      <c r="F755" s="14" t="e">
        <f>NA()</f>
        <v>#N/A</v>
      </c>
      <c r="G755" s="14" t="e">
        <f>NA()</f>
        <v>#N/A</v>
      </c>
      <c r="H755" s="14" t="e">
        <f>NA()</f>
        <v>#N/A</v>
      </c>
      <c r="I755" s="86" t="e">
        <f>NA()</f>
        <v>#N/A</v>
      </c>
      <c r="J755" s="87" t="e">
        <f>data비교작업!S758*100</f>
        <v>#N/A</v>
      </c>
      <c r="K755" s="85" t="e">
        <v>#N/A</v>
      </c>
    </row>
    <row r="756" spans="1:11" ht="18" customHeight="1" x14ac:dyDescent="0.25">
      <c r="A756" s="5">
        <v>21336</v>
      </c>
      <c r="B756" s="79" t="e">
        <f>NA()</f>
        <v>#N/A</v>
      </c>
      <c r="C756" s="80" t="e">
        <v>#N/A</v>
      </c>
      <c r="D756" s="14">
        <f>46.6</f>
        <v>46.6</v>
      </c>
      <c r="E756" s="14" t="e">
        <f>NA()</f>
        <v>#N/A</v>
      </c>
      <c r="F756" s="14" t="e">
        <f>NA()</f>
        <v>#N/A</v>
      </c>
      <c r="G756" s="14" t="e">
        <f>NA()</f>
        <v>#N/A</v>
      </c>
      <c r="H756" s="14" t="e">
        <f>NA()</f>
        <v>#N/A</v>
      </c>
      <c r="I756" s="86" t="e">
        <f>NA()</f>
        <v>#N/A</v>
      </c>
      <c r="J756" s="87" t="e">
        <f>data비교작업!S759*100</f>
        <v>#N/A</v>
      </c>
      <c r="K756" s="85" t="e">
        <v>#N/A</v>
      </c>
    </row>
    <row r="757" spans="1:11" ht="18" customHeight="1" x14ac:dyDescent="0.25">
      <c r="A757" s="5">
        <v>21305</v>
      </c>
      <c r="B757" s="79" t="e">
        <f>NA()</f>
        <v>#N/A</v>
      </c>
      <c r="C757" s="80" t="e">
        <v>#N/A</v>
      </c>
      <c r="D757" s="14">
        <f>39.1</f>
        <v>39.1</v>
      </c>
      <c r="E757" s="14" t="e">
        <f>NA()</f>
        <v>#N/A</v>
      </c>
      <c r="F757" s="14" t="e">
        <f>NA()</f>
        <v>#N/A</v>
      </c>
      <c r="G757" s="14" t="e">
        <f>NA()</f>
        <v>#N/A</v>
      </c>
      <c r="H757" s="14" t="e">
        <f>NA()</f>
        <v>#N/A</v>
      </c>
      <c r="I757" s="86" t="e">
        <f>NA()</f>
        <v>#N/A</v>
      </c>
      <c r="J757" s="87" t="e">
        <f>data비교작업!S760*100</f>
        <v>#N/A</v>
      </c>
      <c r="K757" s="85" t="e">
        <v>#N/A</v>
      </c>
    </row>
    <row r="758" spans="1:11" ht="18" customHeight="1" x14ac:dyDescent="0.25">
      <c r="A758" s="5">
        <v>21275</v>
      </c>
      <c r="B758" s="79" t="e">
        <f>NA()</f>
        <v>#N/A</v>
      </c>
      <c r="C758" s="80" t="e">
        <v>#N/A</v>
      </c>
      <c r="D758" s="14">
        <f>39.8</f>
        <v>39.799999999999997</v>
      </c>
      <c r="E758" s="14" t="e">
        <f>NA()</f>
        <v>#N/A</v>
      </c>
      <c r="F758" s="14" t="e">
        <f>NA()</f>
        <v>#N/A</v>
      </c>
      <c r="G758" s="14" t="e">
        <f>NA()</f>
        <v>#N/A</v>
      </c>
      <c r="H758" s="14" t="e">
        <f>NA()</f>
        <v>#N/A</v>
      </c>
      <c r="I758" s="86" t="e">
        <f>NA()</f>
        <v>#N/A</v>
      </c>
      <c r="J758" s="87" t="e">
        <f>data비교작업!S761*100</f>
        <v>#N/A</v>
      </c>
      <c r="K758" s="85" t="e">
        <v>#N/A</v>
      </c>
    </row>
    <row r="759" spans="1:11" ht="18" customHeight="1" x14ac:dyDescent="0.25">
      <c r="A759" s="5">
        <v>21244</v>
      </c>
      <c r="B759" s="79" t="e">
        <f>NA()</f>
        <v>#N/A</v>
      </c>
      <c r="C759" s="80" t="e">
        <v>#N/A</v>
      </c>
      <c r="D759" s="14">
        <f>37.2</f>
        <v>37.200000000000003</v>
      </c>
      <c r="E759" s="14" t="e">
        <f>NA()</f>
        <v>#N/A</v>
      </c>
      <c r="F759" s="14" t="e">
        <f>NA()</f>
        <v>#N/A</v>
      </c>
      <c r="G759" s="14" t="e">
        <f>NA()</f>
        <v>#N/A</v>
      </c>
      <c r="H759" s="14" t="e">
        <f>NA()</f>
        <v>#N/A</v>
      </c>
      <c r="I759" s="86" t="e">
        <f>NA()</f>
        <v>#N/A</v>
      </c>
      <c r="J759" s="87" t="e">
        <f>data비교작업!S762*100</f>
        <v>#N/A</v>
      </c>
      <c r="K759" s="85" t="e">
        <v>#N/A</v>
      </c>
    </row>
    <row r="760" spans="1:11" ht="18" customHeight="1" x14ac:dyDescent="0.25">
      <c r="A760" s="5">
        <v>21216</v>
      </c>
      <c r="B760" s="79" t="e">
        <f>NA()</f>
        <v>#N/A</v>
      </c>
      <c r="C760" s="80" t="e">
        <v>#N/A</v>
      </c>
      <c r="D760" s="14">
        <f>33.4</f>
        <v>33.4</v>
      </c>
      <c r="E760" s="14" t="e">
        <f>NA()</f>
        <v>#N/A</v>
      </c>
      <c r="F760" s="14" t="e">
        <f>NA()</f>
        <v>#N/A</v>
      </c>
      <c r="G760" s="14" t="e">
        <f>NA()</f>
        <v>#N/A</v>
      </c>
      <c r="H760" s="14" t="e">
        <f>NA()</f>
        <v>#N/A</v>
      </c>
      <c r="I760" s="86" t="e">
        <f>NA()</f>
        <v>#N/A</v>
      </c>
      <c r="J760" s="87" t="e">
        <f>data비교작업!S763*100</f>
        <v>#N/A</v>
      </c>
      <c r="K760" s="85" t="e">
        <v>#N/A</v>
      </c>
    </row>
    <row r="761" spans="1:11" ht="18" customHeight="1" x14ac:dyDescent="0.25">
      <c r="A761" s="5">
        <v>21185</v>
      </c>
      <c r="B761" s="79" t="e">
        <f>NA()</f>
        <v>#N/A</v>
      </c>
      <c r="C761" s="80" t="e">
        <v>#N/A</v>
      </c>
      <c r="D761" s="14">
        <f>36.8</f>
        <v>36.799999999999997</v>
      </c>
      <c r="E761" s="14" t="e">
        <f>NA()</f>
        <v>#N/A</v>
      </c>
      <c r="F761" s="14" t="e">
        <f>NA()</f>
        <v>#N/A</v>
      </c>
      <c r="G761" s="14" t="e">
        <f>NA()</f>
        <v>#N/A</v>
      </c>
      <c r="H761" s="14" t="e">
        <f>NA()</f>
        <v>#N/A</v>
      </c>
      <c r="I761" s="86" t="e">
        <f>NA()</f>
        <v>#N/A</v>
      </c>
      <c r="J761" s="87" t="e">
        <f>data비교작업!S764*100</f>
        <v>#N/A</v>
      </c>
      <c r="K761" s="85" t="e">
        <v>#N/A</v>
      </c>
    </row>
    <row r="762" spans="1:11" ht="18" customHeight="1" x14ac:dyDescent="0.25">
      <c r="A762" s="5">
        <v>21154</v>
      </c>
      <c r="B762" s="79" t="e">
        <f>NA()</f>
        <v>#N/A</v>
      </c>
      <c r="C762" s="80" t="e">
        <v>#N/A</v>
      </c>
      <c r="D762" s="14">
        <f>40.4</f>
        <v>40.4</v>
      </c>
      <c r="E762" s="14" t="e">
        <f>NA()</f>
        <v>#N/A</v>
      </c>
      <c r="F762" s="14" t="e">
        <f>NA()</f>
        <v>#N/A</v>
      </c>
      <c r="G762" s="14" t="e">
        <f>NA()</f>
        <v>#N/A</v>
      </c>
      <c r="H762" s="14" t="e">
        <f>NA()</f>
        <v>#N/A</v>
      </c>
      <c r="I762" s="86" t="e">
        <f>NA()</f>
        <v>#N/A</v>
      </c>
      <c r="J762" s="87" t="e">
        <f>data비교작업!S765*100</f>
        <v>#N/A</v>
      </c>
      <c r="K762" s="85" t="e">
        <v>#N/A</v>
      </c>
    </row>
    <row r="763" spans="1:11" ht="18" customHeight="1" x14ac:dyDescent="0.25">
      <c r="A763" s="5">
        <v>21124</v>
      </c>
      <c r="B763" s="79" t="e">
        <f>NA()</f>
        <v>#N/A</v>
      </c>
      <c r="C763" s="80" t="e">
        <v>#N/A</v>
      </c>
      <c r="D763" s="14">
        <f>41.1</f>
        <v>41.1</v>
      </c>
      <c r="E763" s="14" t="e">
        <f>NA()</f>
        <v>#N/A</v>
      </c>
      <c r="F763" s="14" t="e">
        <f>NA()</f>
        <v>#N/A</v>
      </c>
      <c r="G763" s="14" t="e">
        <f>NA()</f>
        <v>#N/A</v>
      </c>
      <c r="H763" s="14" t="e">
        <f>NA()</f>
        <v>#N/A</v>
      </c>
      <c r="I763" s="86" t="e">
        <f>NA()</f>
        <v>#N/A</v>
      </c>
      <c r="J763" s="87" t="e">
        <f>data비교작업!S766*100</f>
        <v>#N/A</v>
      </c>
      <c r="K763" s="85" t="e">
        <v>#N/A</v>
      </c>
    </row>
    <row r="764" spans="1:11" ht="18" customHeight="1" x14ac:dyDescent="0.25">
      <c r="A764" s="5">
        <v>21093</v>
      </c>
      <c r="B764" s="79" t="e">
        <f>NA()</f>
        <v>#N/A</v>
      </c>
      <c r="C764" s="80" t="e">
        <v>#N/A</v>
      </c>
      <c r="D764" s="14">
        <f>45.8</f>
        <v>45.8</v>
      </c>
      <c r="E764" s="14" t="e">
        <f>NA()</f>
        <v>#N/A</v>
      </c>
      <c r="F764" s="14" t="e">
        <f>NA()</f>
        <v>#N/A</v>
      </c>
      <c r="G764" s="14" t="e">
        <f>NA()</f>
        <v>#N/A</v>
      </c>
      <c r="H764" s="14" t="e">
        <f>NA()</f>
        <v>#N/A</v>
      </c>
      <c r="I764" s="86" t="e">
        <f>NA()</f>
        <v>#N/A</v>
      </c>
      <c r="J764" s="87" t="e">
        <f>data비교작업!S767*100</f>
        <v>#N/A</v>
      </c>
      <c r="K764" s="85" t="e">
        <v>#N/A</v>
      </c>
    </row>
    <row r="765" spans="1:11" ht="18" customHeight="1" x14ac:dyDescent="0.25">
      <c r="A765" s="5">
        <v>21063</v>
      </c>
      <c r="B765" s="79" t="e">
        <f>NA()</f>
        <v>#N/A</v>
      </c>
      <c r="C765" s="80" t="e">
        <v>#N/A</v>
      </c>
      <c r="D765" s="14">
        <f>45.3</f>
        <v>45.3</v>
      </c>
      <c r="E765" s="14" t="e">
        <f>NA()</f>
        <v>#N/A</v>
      </c>
      <c r="F765" s="14" t="e">
        <f>NA()</f>
        <v>#N/A</v>
      </c>
      <c r="G765" s="14" t="e">
        <f>NA()</f>
        <v>#N/A</v>
      </c>
      <c r="H765" s="14" t="e">
        <f>NA()</f>
        <v>#N/A</v>
      </c>
      <c r="I765" s="86" t="e">
        <f>NA()</f>
        <v>#N/A</v>
      </c>
      <c r="J765" s="87" t="e">
        <f>data비교작업!S768*100</f>
        <v>#N/A</v>
      </c>
      <c r="K765" s="85" t="e">
        <v>#N/A</v>
      </c>
    </row>
    <row r="766" spans="1:11" ht="18" customHeight="1" x14ac:dyDescent="0.25">
      <c r="A766" s="5">
        <v>21032</v>
      </c>
      <c r="B766" s="79" t="e">
        <f>NA()</f>
        <v>#N/A</v>
      </c>
      <c r="C766" s="80" t="e">
        <v>#N/A</v>
      </c>
      <c r="D766" s="14">
        <f>45.7</f>
        <v>45.7</v>
      </c>
      <c r="E766" s="14" t="e">
        <f>NA()</f>
        <v>#N/A</v>
      </c>
      <c r="F766" s="14" t="e">
        <f>NA()</f>
        <v>#N/A</v>
      </c>
      <c r="G766" s="14" t="e">
        <f>NA()</f>
        <v>#N/A</v>
      </c>
      <c r="H766" s="14" t="e">
        <f>NA()</f>
        <v>#N/A</v>
      </c>
      <c r="I766" s="86" t="e">
        <f>NA()</f>
        <v>#N/A</v>
      </c>
      <c r="J766" s="87" t="e">
        <f>data비교작업!S769*100</f>
        <v>#N/A</v>
      </c>
      <c r="K766" s="85" t="e">
        <v>#N/A</v>
      </c>
    </row>
    <row r="767" spans="1:11" ht="18" customHeight="1" x14ac:dyDescent="0.25">
      <c r="A767" s="5">
        <v>21001</v>
      </c>
      <c r="B767" s="79" t="e">
        <f>NA()</f>
        <v>#N/A</v>
      </c>
      <c r="C767" s="80" t="e">
        <v>#N/A</v>
      </c>
      <c r="D767" s="14">
        <f>45.9</f>
        <v>45.9</v>
      </c>
      <c r="E767" s="14" t="e">
        <f>NA()</f>
        <v>#N/A</v>
      </c>
      <c r="F767" s="14" t="e">
        <f>NA()</f>
        <v>#N/A</v>
      </c>
      <c r="G767" s="14" t="e">
        <f>NA()</f>
        <v>#N/A</v>
      </c>
      <c r="H767" s="14" t="e">
        <f>NA()</f>
        <v>#N/A</v>
      </c>
      <c r="I767" s="86" t="e">
        <f>NA()</f>
        <v>#N/A</v>
      </c>
      <c r="J767" s="87" t="e">
        <f>data비교작업!S770*100</f>
        <v>#N/A</v>
      </c>
      <c r="K767" s="85" t="e">
        <v>#N/A</v>
      </c>
    </row>
    <row r="768" spans="1:11" ht="18" customHeight="1" x14ac:dyDescent="0.25">
      <c r="A768" s="5">
        <v>20971</v>
      </c>
      <c r="B768" s="79" t="e">
        <f>NA()</f>
        <v>#N/A</v>
      </c>
      <c r="C768" s="80" t="e">
        <v>#N/A</v>
      </c>
      <c r="D768" s="14">
        <f>43.4</f>
        <v>43.4</v>
      </c>
      <c r="E768" s="14" t="e">
        <f>NA()</f>
        <v>#N/A</v>
      </c>
      <c r="F768" s="14" t="e">
        <f>NA()</f>
        <v>#N/A</v>
      </c>
      <c r="G768" s="14" t="e">
        <f>NA()</f>
        <v>#N/A</v>
      </c>
      <c r="H768" s="14" t="e">
        <f>NA()</f>
        <v>#N/A</v>
      </c>
      <c r="I768" s="86" t="e">
        <f>NA()</f>
        <v>#N/A</v>
      </c>
      <c r="J768" s="87" t="e">
        <f>data비교작업!S771*100</f>
        <v>#N/A</v>
      </c>
      <c r="K768" s="85" t="e">
        <v>#N/A</v>
      </c>
    </row>
    <row r="769" spans="1:11" ht="18" customHeight="1" x14ac:dyDescent="0.25">
      <c r="A769" s="5">
        <v>20940</v>
      </c>
      <c r="B769" s="79" t="e">
        <f>NA()</f>
        <v>#N/A</v>
      </c>
      <c r="C769" s="80" t="e">
        <v>#N/A</v>
      </c>
      <c r="D769" s="14">
        <f>43.1</f>
        <v>43.1</v>
      </c>
      <c r="E769" s="14" t="e">
        <f>NA()</f>
        <v>#N/A</v>
      </c>
      <c r="F769" s="14" t="e">
        <f>NA()</f>
        <v>#N/A</v>
      </c>
      <c r="G769" s="14" t="e">
        <f>NA()</f>
        <v>#N/A</v>
      </c>
      <c r="H769" s="14" t="e">
        <f>NA()</f>
        <v>#N/A</v>
      </c>
      <c r="I769" s="86" t="e">
        <f>NA()</f>
        <v>#N/A</v>
      </c>
      <c r="J769" s="87" t="e">
        <f>data비교작업!S772*100</f>
        <v>#N/A</v>
      </c>
      <c r="K769" s="85" t="e">
        <v>#N/A</v>
      </c>
    </row>
    <row r="770" spans="1:11" ht="18" customHeight="1" x14ac:dyDescent="0.25">
      <c r="A770" s="5">
        <v>20910</v>
      </c>
      <c r="B770" s="79" t="e">
        <f>NA()</f>
        <v>#N/A</v>
      </c>
      <c r="C770" s="80" t="e">
        <v>#N/A</v>
      </c>
      <c r="D770" s="14">
        <f>47.5</f>
        <v>47.5</v>
      </c>
      <c r="E770" s="14" t="e">
        <f>NA()</f>
        <v>#N/A</v>
      </c>
      <c r="F770" s="14" t="e">
        <f>NA()</f>
        <v>#N/A</v>
      </c>
      <c r="G770" s="14" t="e">
        <f>NA()</f>
        <v>#N/A</v>
      </c>
      <c r="H770" s="14" t="e">
        <f>NA()</f>
        <v>#N/A</v>
      </c>
      <c r="I770" s="86" t="e">
        <f>NA()</f>
        <v>#N/A</v>
      </c>
      <c r="J770" s="87" t="e">
        <f>data비교작업!S773*100</f>
        <v>#N/A</v>
      </c>
      <c r="K770" s="85" t="e">
        <v>#N/A</v>
      </c>
    </row>
    <row r="771" spans="1:11" ht="18" customHeight="1" x14ac:dyDescent="0.25">
      <c r="A771" s="5">
        <v>20879</v>
      </c>
      <c r="B771" s="79" t="e">
        <f>NA()</f>
        <v>#N/A</v>
      </c>
      <c r="C771" s="80" t="e">
        <v>#N/A</v>
      </c>
      <c r="D771" s="14">
        <f>51</f>
        <v>51</v>
      </c>
      <c r="E771" s="14" t="e">
        <f>NA()</f>
        <v>#N/A</v>
      </c>
      <c r="F771" s="14" t="e">
        <f>NA()</f>
        <v>#N/A</v>
      </c>
      <c r="G771" s="14" t="e">
        <f>NA()</f>
        <v>#N/A</v>
      </c>
      <c r="H771" s="14" t="e">
        <f>NA()</f>
        <v>#N/A</v>
      </c>
      <c r="I771" s="86" t="e">
        <f>NA()</f>
        <v>#N/A</v>
      </c>
      <c r="J771" s="87" t="e">
        <f>data비교작업!S774*100</f>
        <v>#N/A</v>
      </c>
      <c r="K771" s="85" t="e">
        <v>#N/A</v>
      </c>
    </row>
    <row r="772" spans="1:11" ht="18" customHeight="1" x14ac:dyDescent="0.25">
      <c r="A772" s="5">
        <v>20851</v>
      </c>
      <c r="B772" s="79" t="e">
        <f>NA()</f>
        <v>#N/A</v>
      </c>
      <c r="C772" s="80" t="e">
        <v>#N/A</v>
      </c>
      <c r="D772" s="14">
        <f>53.6</f>
        <v>53.6</v>
      </c>
      <c r="E772" s="14" t="e">
        <f>NA()</f>
        <v>#N/A</v>
      </c>
      <c r="F772" s="14" t="e">
        <f>NA()</f>
        <v>#N/A</v>
      </c>
      <c r="G772" s="14" t="e">
        <f>NA()</f>
        <v>#N/A</v>
      </c>
      <c r="H772" s="14" t="e">
        <f>NA()</f>
        <v>#N/A</v>
      </c>
      <c r="I772" s="86" t="e">
        <f>NA()</f>
        <v>#N/A</v>
      </c>
      <c r="J772" s="87" t="e">
        <f>data비교작업!S775*100</f>
        <v>#N/A</v>
      </c>
      <c r="K772" s="85" t="e">
        <v>#N/A</v>
      </c>
    </row>
    <row r="773" spans="1:11" ht="18" customHeight="1" x14ac:dyDescent="0.25">
      <c r="A773" s="5">
        <v>20820</v>
      </c>
      <c r="B773" s="79" t="e">
        <f>NA()</f>
        <v>#N/A</v>
      </c>
      <c r="C773" s="80" t="e">
        <v>#N/A</v>
      </c>
      <c r="D773" s="14">
        <f>52.7</f>
        <v>52.7</v>
      </c>
      <c r="E773" s="14" t="e">
        <f>NA()</f>
        <v>#N/A</v>
      </c>
      <c r="F773" s="14" t="e">
        <f>NA()</f>
        <v>#N/A</v>
      </c>
      <c r="G773" s="14" t="e">
        <f>NA()</f>
        <v>#N/A</v>
      </c>
      <c r="H773" s="14" t="e">
        <f>NA()</f>
        <v>#N/A</v>
      </c>
      <c r="I773" s="86" t="e">
        <f>NA()</f>
        <v>#N/A</v>
      </c>
      <c r="J773" s="87" t="e">
        <f>data비교작업!S776*100</f>
        <v>#N/A</v>
      </c>
      <c r="K773" s="85" t="e">
        <v>#N/A</v>
      </c>
    </row>
    <row r="774" spans="1:11" ht="18" customHeight="1" x14ac:dyDescent="0.25">
      <c r="A774" s="5">
        <v>20789</v>
      </c>
      <c r="B774" s="79" t="e">
        <f>NA()</f>
        <v>#N/A</v>
      </c>
      <c r="C774" s="80" t="e">
        <v>#N/A</v>
      </c>
      <c r="D774" s="14">
        <f>55</f>
        <v>55</v>
      </c>
      <c r="E774" s="14" t="e">
        <f>NA()</f>
        <v>#N/A</v>
      </c>
      <c r="F774" s="14" t="e">
        <f>NA()</f>
        <v>#N/A</v>
      </c>
      <c r="G774" s="14" t="e">
        <f>NA()</f>
        <v>#N/A</v>
      </c>
      <c r="H774" s="14" t="e">
        <f>NA()</f>
        <v>#N/A</v>
      </c>
      <c r="I774" s="86" t="e">
        <f>NA()</f>
        <v>#N/A</v>
      </c>
      <c r="J774" s="87" t="e">
        <f>data비교작업!S777*100</f>
        <v>#N/A</v>
      </c>
      <c r="K774" s="85" t="e">
        <v>#N/A</v>
      </c>
    </row>
    <row r="775" spans="1:11" ht="18" customHeight="1" x14ac:dyDescent="0.25">
      <c r="A775" s="5">
        <v>20759</v>
      </c>
      <c r="B775" s="79" t="e">
        <f>NA()</f>
        <v>#N/A</v>
      </c>
      <c r="C775" s="80" t="e">
        <v>#N/A</v>
      </c>
      <c r="D775" s="14">
        <f>52.7</f>
        <v>52.7</v>
      </c>
      <c r="E775" s="14" t="e">
        <f>NA()</f>
        <v>#N/A</v>
      </c>
      <c r="F775" s="14" t="e">
        <f>NA()</f>
        <v>#N/A</v>
      </c>
      <c r="G775" s="14" t="e">
        <f>NA()</f>
        <v>#N/A</v>
      </c>
      <c r="H775" s="14" t="e">
        <f>NA()</f>
        <v>#N/A</v>
      </c>
      <c r="I775" s="86" t="e">
        <f>NA()</f>
        <v>#N/A</v>
      </c>
      <c r="J775" s="87" t="e">
        <f>data비교작업!S778*100</f>
        <v>#N/A</v>
      </c>
      <c r="K775" s="85" t="e">
        <v>#N/A</v>
      </c>
    </row>
    <row r="776" spans="1:11" ht="18" customHeight="1" x14ac:dyDescent="0.25">
      <c r="A776" s="5">
        <v>20728</v>
      </c>
      <c r="B776" s="79" t="e">
        <f>NA()</f>
        <v>#N/A</v>
      </c>
      <c r="C776" s="80" t="e">
        <v>#N/A</v>
      </c>
      <c r="D776" s="14">
        <f>55.5</f>
        <v>55.5</v>
      </c>
      <c r="E776" s="14" t="e">
        <f>NA()</f>
        <v>#N/A</v>
      </c>
      <c r="F776" s="14" t="e">
        <f>NA()</f>
        <v>#N/A</v>
      </c>
      <c r="G776" s="14" t="e">
        <f>NA()</f>
        <v>#N/A</v>
      </c>
      <c r="H776" s="14" t="e">
        <f>NA()</f>
        <v>#N/A</v>
      </c>
      <c r="I776" s="86" t="e">
        <f>NA()</f>
        <v>#N/A</v>
      </c>
      <c r="J776" s="87" t="e">
        <f>data비교작업!S779*100</f>
        <v>#N/A</v>
      </c>
      <c r="K776" s="85" t="e">
        <v>#N/A</v>
      </c>
    </row>
    <row r="777" spans="1:11" ht="18" customHeight="1" x14ac:dyDescent="0.25">
      <c r="A777" s="5">
        <v>20698</v>
      </c>
      <c r="B777" s="79" t="e">
        <f>NA()</f>
        <v>#N/A</v>
      </c>
      <c r="C777" s="80" t="e">
        <v>#N/A</v>
      </c>
      <c r="D777" s="14">
        <f>51.5</f>
        <v>51.5</v>
      </c>
      <c r="E777" s="14" t="e">
        <f>NA()</f>
        <v>#N/A</v>
      </c>
      <c r="F777" s="14" t="e">
        <f>NA()</f>
        <v>#N/A</v>
      </c>
      <c r="G777" s="14" t="e">
        <f>NA()</f>
        <v>#N/A</v>
      </c>
      <c r="H777" s="14" t="e">
        <f>NA()</f>
        <v>#N/A</v>
      </c>
      <c r="I777" s="86" t="e">
        <f>NA()</f>
        <v>#N/A</v>
      </c>
      <c r="J777" s="87" t="e">
        <f>data비교작업!S780*100</f>
        <v>#N/A</v>
      </c>
      <c r="K777" s="85" t="e">
        <v>#N/A</v>
      </c>
    </row>
    <row r="778" spans="1:11" ht="18" customHeight="1" x14ac:dyDescent="0.25">
      <c r="A778" s="5">
        <v>20667</v>
      </c>
      <c r="B778" s="79" t="e">
        <f>NA()</f>
        <v>#N/A</v>
      </c>
      <c r="C778" s="80" t="e">
        <v>#N/A</v>
      </c>
      <c r="D778" s="14">
        <f>44.2</f>
        <v>44.2</v>
      </c>
      <c r="E778" s="14" t="e">
        <f>NA()</f>
        <v>#N/A</v>
      </c>
      <c r="F778" s="14" t="e">
        <f>NA()</f>
        <v>#N/A</v>
      </c>
      <c r="G778" s="14" t="e">
        <f>NA()</f>
        <v>#N/A</v>
      </c>
      <c r="H778" s="14" t="e">
        <f>NA()</f>
        <v>#N/A</v>
      </c>
      <c r="I778" s="86" t="e">
        <f>NA()</f>
        <v>#N/A</v>
      </c>
      <c r="J778" s="87" t="e">
        <f>data비교작업!S781*100</f>
        <v>#N/A</v>
      </c>
      <c r="K778" s="85" t="e">
        <v>#N/A</v>
      </c>
    </row>
    <row r="779" spans="1:11" ht="18" customHeight="1" x14ac:dyDescent="0.25">
      <c r="A779" s="5">
        <v>20636</v>
      </c>
      <c r="B779" s="79" t="e">
        <f>NA()</f>
        <v>#N/A</v>
      </c>
      <c r="C779" s="80" t="e">
        <v>#N/A</v>
      </c>
      <c r="D779" s="14">
        <f>47.7</f>
        <v>47.7</v>
      </c>
      <c r="E779" s="14" t="e">
        <f>NA()</f>
        <v>#N/A</v>
      </c>
      <c r="F779" s="14" t="e">
        <f>NA()</f>
        <v>#N/A</v>
      </c>
      <c r="G779" s="14" t="e">
        <f>NA()</f>
        <v>#N/A</v>
      </c>
      <c r="H779" s="14" t="e">
        <f>NA()</f>
        <v>#N/A</v>
      </c>
      <c r="I779" s="86" t="e">
        <f>NA()</f>
        <v>#N/A</v>
      </c>
      <c r="J779" s="87" t="e">
        <f>data비교작업!S782*100</f>
        <v>#N/A</v>
      </c>
      <c r="K779" s="85" t="e">
        <v>#N/A</v>
      </c>
    </row>
    <row r="780" spans="1:11" ht="18" customHeight="1" x14ac:dyDescent="0.25">
      <c r="A780" s="5">
        <v>20606</v>
      </c>
      <c r="B780" s="79" t="e">
        <f>NA()</f>
        <v>#N/A</v>
      </c>
      <c r="C780" s="80" t="e">
        <v>#N/A</v>
      </c>
      <c r="D780" s="14">
        <f>51.2</f>
        <v>51.2</v>
      </c>
      <c r="E780" s="14" t="e">
        <f>NA()</f>
        <v>#N/A</v>
      </c>
      <c r="F780" s="14" t="e">
        <f>NA()</f>
        <v>#N/A</v>
      </c>
      <c r="G780" s="14" t="e">
        <f>NA()</f>
        <v>#N/A</v>
      </c>
      <c r="H780" s="14" t="e">
        <f>NA()</f>
        <v>#N/A</v>
      </c>
      <c r="I780" s="86" t="e">
        <f>NA()</f>
        <v>#N/A</v>
      </c>
      <c r="J780" s="87" t="e">
        <f>data비교작업!S783*100</f>
        <v>#N/A</v>
      </c>
      <c r="K780" s="85" t="e">
        <v>#N/A</v>
      </c>
    </row>
    <row r="781" spans="1:11" ht="18" customHeight="1" x14ac:dyDescent="0.25">
      <c r="A781" s="5">
        <v>20575</v>
      </c>
      <c r="B781" s="79" t="e">
        <f>NA()</f>
        <v>#N/A</v>
      </c>
      <c r="C781" s="80" t="e">
        <v>#N/A</v>
      </c>
      <c r="D781" s="14">
        <f>55.9</f>
        <v>55.9</v>
      </c>
      <c r="E781" s="14" t="e">
        <f>NA()</f>
        <v>#N/A</v>
      </c>
      <c r="F781" s="14" t="e">
        <f>NA()</f>
        <v>#N/A</v>
      </c>
      <c r="G781" s="14" t="e">
        <f>NA()</f>
        <v>#N/A</v>
      </c>
      <c r="H781" s="14" t="e">
        <f>NA()</f>
        <v>#N/A</v>
      </c>
      <c r="I781" s="86" t="e">
        <f>NA()</f>
        <v>#N/A</v>
      </c>
      <c r="J781" s="87" t="e">
        <f>data비교작업!S784*100</f>
        <v>#N/A</v>
      </c>
      <c r="K781" s="85" t="e">
        <v>#N/A</v>
      </c>
    </row>
    <row r="782" spans="1:11" ht="18" customHeight="1" x14ac:dyDescent="0.25">
      <c r="A782" s="5">
        <v>20545</v>
      </c>
      <c r="B782" s="79" t="e">
        <f>NA()</f>
        <v>#N/A</v>
      </c>
      <c r="C782" s="80" t="e">
        <v>#N/A</v>
      </c>
      <c r="D782" s="14">
        <f>57.2</f>
        <v>57.2</v>
      </c>
      <c r="E782" s="14" t="e">
        <f>NA()</f>
        <v>#N/A</v>
      </c>
      <c r="F782" s="14" t="e">
        <f>NA()</f>
        <v>#N/A</v>
      </c>
      <c r="G782" s="14" t="e">
        <f>NA()</f>
        <v>#N/A</v>
      </c>
      <c r="H782" s="14" t="e">
        <f>NA()</f>
        <v>#N/A</v>
      </c>
      <c r="I782" s="86" t="e">
        <f>NA()</f>
        <v>#N/A</v>
      </c>
      <c r="J782" s="87" t="e">
        <f>data비교작업!S785*100</f>
        <v>#N/A</v>
      </c>
      <c r="K782" s="85" t="e">
        <v>#N/A</v>
      </c>
    </row>
    <row r="783" spans="1:11" ht="18" customHeight="1" x14ac:dyDescent="0.25">
      <c r="A783" s="5">
        <v>20514</v>
      </c>
      <c r="B783" s="79" t="e">
        <f>NA()</f>
        <v>#N/A</v>
      </c>
      <c r="C783" s="80" t="e">
        <v>#N/A</v>
      </c>
      <c r="D783" s="14">
        <f>58.2</f>
        <v>58.2</v>
      </c>
      <c r="E783" s="14" t="e">
        <f>NA()</f>
        <v>#N/A</v>
      </c>
      <c r="F783" s="14" t="e">
        <f>NA()</f>
        <v>#N/A</v>
      </c>
      <c r="G783" s="14" t="e">
        <f>NA()</f>
        <v>#N/A</v>
      </c>
      <c r="H783" s="14" t="e">
        <f>NA()</f>
        <v>#N/A</v>
      </c>
      <c r="I783" s="86" t="e">
        <f>NA()</f>
        <v>#N/A</v>
      </c>
      <c r="J783" s="87" t="e">
        <f>data비교작업!S786*100</f>
        <v>#N/A</v>
      </c>
      <c r="K783" s="85" t="e">
        <v>#N/A</v>
      </c>
    </row>
    <row r="784" spans="1:11" ht="18" customHeight="1" x14ac:dyDescent="0.25">
      <c r="A784" s="5">
        <v>20485</v>
      </c>
      <c r="B784" s="79" t="e">
        <f>NA()</f>
        <v>#N/A</v>
      </c>
      <c r="C784" s="80" t="e">
        <v>#N/A</v>
      </c>
      <c r="D784" s="14">
        <f>60.2</f>
        <v>60.2</v>
      </c>
      <c r="E784" s="14" t="e">
        <f>NA()</f>
        <v>#N/A</v>
      </c>
      <c r="F784" s="14" t="e">
        <f>NA()</f>
        <v>#N/A</v>
      </c>
      <c r="G784" s="14" t="e">
        <f>NA()</f>
        <v>#N/A</v>
      </c>
      <c r="H784" s="14" t="e">
        <f>NA()</f>
        <v>#N/A</v>
      </c>
      <c r="I784" s="86" t="e">
        <f>NA()</f>
        <v>#N/A</v>
      </c>
      <c r="J784" s="87" t="e">
        <f>data비교작업!S787*100</f>
        <v>#N/A</v>
      </c>
      <c r="K784" s="85" t="e">
        <v>#N/A</v>
      </c>
    </row>
    <row r="785" spans="1:11" ht="18" customHeight="1" x14ac:dyDescent="0.25">
      <c r="A785" s="5">
        <v>20454</v>
      </c>
      <c r="B785" s="79" t="e">
        <f>NA()</f>
        <v>#N/A</v>
      </c>
      <c r="C785" s="80" t="e">
        <v>#N/A</v>
      </c>
      <c r="D785" s="14">
        <f>65.6</f>
        <v>65.599999999999994</v>
      </c>
      <c r="E785" s="14" t="e">
        <f>NA()</f>
        <v>#N/A</v>
      </c>
      <c r="F785" s="14" t="e">
        <f>NA()</f>
        <v>#N/A</v>
      </c>
      <c r="G785" s="14" t="e">
        <f>NA()</f>
        <v>#N/A</v>
      </c>
      <c r="H785" s="14" t="e">
        <f>NA()</f>
        <v>#N/A</v>
      </c>
      <c r="I785" s="86" t="e">
        <f>NA()</f>
        <v>#N/A</v>
      </c>
      <c r="J785" s="87" t="e">
        <f>data비교작업!S788*100</f>
        <v>#N/A</v>
      </c>
      <c r="K785" s="85" t="e">
        <v>#N/A</v>
      </c>
    </row>
    <row r="786" spans="1:11" ht="18" customHeight="1" x14ac:dyDescent="0.25">
      <c r="A786" s="5">
        <v>20423</v>
      </c>
      <c r="B786" s="79" t="e">
        <f>NA()</f>
        <v>#N/A</v>
      </c>
      <c r="C786" s="80" t="e">
        <v>#N/A</v>
      </c>
      <c r="D786" s="14">
        <f>62</f>
        <v>62</v>
      </c>
      <c r="E786" s="14" t="e">
        <f>NA()</f>
        <v>#N/A</v>
      </c>
      <c r="F786" s="14" t="e">
        <f>NA()</f>
        <v>#N/A</v>
      </c>
      <c r="G786" s="14" t="e">
        <f>NA()</f>
        <v>#N/A</v>
      </c>
      <c r="H786" s="14" t="e">
        <f>NA()</f>
        <v>#N/A</v>
      </c>
      <c r="I786" s="86" t="e">
        <f>NA()</f>
        <v>#N/A</v>
      </c>
      <c r="J786" s="87" t="e">
        <f>data비교작업!S789*100</f>
        <v>#N/A</v>
      </c>
      <c r="K786" s="85" t="e">
        <v>#N/A</v>
      </c>
    </row>
    <row r="787" spans="1:11" ht="18" customHeight="1" x14ac:dyDescent="0.25">
      <c r="A787" s="5">
        <v>20393</v>
      </c>
      <c r="B787" s="79" t="e">
        <f>NA()</f>
        <v>#N/A</v>
      </c>
      <c r="C787" s="80" t="e">
        <v>#N/A</v>
      </c>
      <c r="D787" s="14">
        <f>63.7</f>
        <v>63.7</v>
      </c>
      <c r="E787" s="14" t="e">
        <f>NA()</f>
        <v>#N/A</v>
      </c>
      <c r="F787" s="14" t="e">
        <f>NA()</f>
        <v>#N/A</v>
      </c>
      <c r="G787" s="14" t="e">
        <f>NA()</f>
        <v>#N/A</v>
      </c>
      <c r="H787" s="14" t="e">
        <f>NA()</f>
        <v>#N/A</v>
      </c>
      <c r="I787" s="86" t="e">
        <f>NA()</f>
        <v>#N/A</v>
      </c>
      <c r="J787" s="87" t="e">
        <f>data비교작업!S790*100</f>
        <v>#N/A</v>
      </c>
      <c r="K787" s="85" t="e">
        <v>#N/A</v>
      </c>
    </row>
    <row r="788" spans="1:11" ht="18" customHeight="1" x14ac:dyDescent="0.25">
      <c r="A788" s="5">
        <v>20362</v>
      </c>
      <c r="B788" s="79" t="e">
        <f>NA()</f>
        <v>#N/A</v>
      </c>
      <c r="C788" s="80" t="e">
        <v>#N/A</v>
      </c>
      <c r="D788" s="14">
        <f>62.4</f>
        <v>62.4</v>
      </c>
      <c r="E788" s="14" t="e">
        <f>NA()</f>
        <v>#N/A</v>
      </c>
      <c r="F788" s="14" t="e">
        <f>NA()</f>
        <v>#N/A</v>
      </c>
      <c r="G788" s="14" t="e">
        <f>NA()</f>
        <v>#N/A</v>
      </c>
      <c r="H788" s="14" t="e">
        <f>NA()</f>
        <v>#N/A</v>
      </c>
      <c r="I788" s="86" t="e">
        <f>NA()</f>
        <v>#N/A</v>
      </c>
      <c r="J788" s="87" t="e">
        <f>data비교작업!S791*100</f>
        <v>#N/A</v>
      </c>
      <c r="K788" s="85" t="e">
        <v>#N/A</v>
      </c>
    </row>
    <row r="789" spans="1:11" ht="18" customHeight="1" x14ac:dyDescent="0.25">
      <c r="A789" s="5">
        <v>20332</v>
      </c>
      <c r="B789" s="79" t="e">
        <f>NA()</f>
        <v>#N/A</v>
      </c>
      <c r="C789" s="80" t="e">
        <v>#N/A</v>
      </c>
      <c r="D789" s="14">
        <f>64.8</f>
        <v>64.8</v>
      </c>
      <c r="E789" s="14" t="e">
        <f>NA()</f>
        <v>#N/A</v>
      </c>
      <c r="F789" s="14" t="e">
        <f>NA()</f>
        <v>#N/A</v>
      </c>
      <c r="G789" s="14" t="e">
        <f>NA()</f>
        <v>#N/A</v>
      </c>
      <c r="H789" s="14" t="e">
        <f>NA()</f>
        <v>#N/A</v>
      </c>
      <c r="I789" s="86" t="e">
        <f>NA()</f>
        <v>#N/A</v>
      </c>
      <c r="J789" s="87" t="e">
        <f>data비교작업!S792*100</f>
        <v>#N/A</v>
      </c>
      <c r="K789" s="85" t="e">
        <v>#N/A</v>
      </c>
    </row>
    <row r="790" spans="1:11" ht="18" customHeight="1" x14ac:dyDescent="0.25">
      <c r="A790" s="5">
        <v>20301</v>
      </c>
      <c r="B790" s="79" t="e">
        <f>NA()</f>
        <v>#N/A</v>
      </c>
      <c r="C790" s="80" t="e">
        <v>#N/A</v>
      </c>
      <c r="D790" s="14">
        <f>66.2</f>
        <v>66.2</v>
      </c>
      <c r="E790" s="14" t="e">
        <f>NA()</f>
        <v>#N/A</v>
      </c>
      <c r="F790" s="14" t="e">
        <f>NA()</f>
        <v>#N/A</v>
      </c>
      <c r="G790" s="14" t="e">
        <f>NA()</f>
        <v>#N/A</v>
      </c>
      <c r="H790" s="14" t="e">
        <f>NA()</f>
        <v>#N/A</v>
      </c>
      <c r="I790" s="86" t="e">
        <f>NA()</f>
        <v>#N/A</v>
      </c>
      <c r="J790" s="87" t="e">
        <f>data비교작업!S793*100</f>
        <v>#N/A</v>
      </c>
      <c r="K790" s="85" t="e">
        <v>#N/A</v>
      </c>
    </row>
    <row r="791" spans="1:11" ht="18" customHeight="1" x14ac:dyDescent="0.25">
      <c r="A791" s="5">
        <v>20270</v>
      </c>
      <c r="B791" s="79" t="e">
        <f>NA()</f>
        <v>#N/A</v>
      </c>
      <c r="C791" s="80" t="e">
        <v>#N/A</v>
      </c>
      <c r="D791" s="14">
        <f>63.3</f>
        <v>63.3</v>
      </c>
      <c r="E791" s="14" t="e">
        <f>NA()</f>
        <v>#N/A</v>
      </c>
      <c r="F791" s="14" t="e">
        <f>NA()</f>
        <v>#N/A</v>
      </c>
      <c r="G791" s="14" t="e">
        <f>NA()</f>
        <v>#N/A</v>
      </c>
      <c r="H791" s="14" t="e">
        <f>NA()</f>
        <v>#N/A</v>
      </c>
      <c r="I791" s="86" t="e">
        <f>NA()</f>
        <v>#N/A</v>
      </c>
      <c r="J791" s="87" t="e">
        <f>data비교작업!S794*100</f>
        <v>#N/A</v>
      </c>
      <c r="K791" s="85" t="e">
        <v>#N/A</v>
      </c>
    </row>
    <row r="792" spans="1:11" ht="18" customHeight="1" x14ac:dyDescent="0.25">
      <c r="A792" s="5">
        <v>20240</v>
      </c>
      <c r="B792" s="79" t="e">
        <f>NA()</f>
        <v>#N/A</v>
      </c>
      <c r="C792" s="80" t="e">
        <v>#N/A</v>
      </c>
      <c r="D792" s="14">
        <f>69.5</f>
        <v>69.5</v>
      </c>
      <c r="E792" s="14" t="e">
        <f>NA()</f>
        <v>#N/A</v>
      </c>
      <c r="F792" s="14" t="e">
        <f>NA()</f>
        <v>#N/A</v>
      </c>
      <c r="G792" s="14" t="e">
        <f>NA()</f>
        <v>#N/A</v>
      </c>
      <c r="H792" s="14" t="e">
        <f>NA()</f>
        <v>#N/A</v>
      </c>
      <c r="I792" s="86" t="e">
        <f>NA()</f>
        <v>#N/A</v>
      </c>
      <c r="J792" s="87" t="e">
        <f>data비교작업!S795*100</f>
        <v>#N/A</v>
      </c>
      <c r="K792" s="85" t="e">
        <v>#N/A</v>
      </c>
    </row>
    <row r="793" spans="1:11" ht="18" customHeight="1" x14ac:dyDescent="0.25">
      <c r="A793" s="5">
        <v>20209</v>
      </c>
      <c r="B793" s="79" t="e">
        <f>NA()</f>
        <v>#N/A</v>
      </c>
      <c r="C793" s="80" t="e">
        <v>#N/A</v>
      </c>
      <c r="D793" s="14">
        <f>68.7</f>
        <v>68.7</v>
      </c>
      <c r="E793" s="14" t="e">
        <f>NA()</f>
        <v>#N/A</v>
      </c>
      <c r="F793" s="14" t="e">
        <f>NA()</f>
        <v>#N/A</v>
      </c>
      <c r="G793" s="14" t="e">
        <f>NA()</f>
        <v>#N/A</v>
      </c>
      <c r="H793" s="14" t="e">
        <f>NA()</f>
        <v>#N/A</v>
      </c>
      <c r="I793" s="86" t="e">
        <f>NA()</f>
        <v>#N/A</v>
      </c>
      <c r="J793" s="87" t="e">
        <f>data비교작업!S796*100</f>
        <v>#N/A</v>
      </c>
      <c r="K793" s="85" t="e">
        <v>#N/A</v>
      </c>
    </row>
    <row r="794" spans="1:11" ht="18" customHeight="1" x14ac:dyDescent="0.25">
      <c r="A794" s="5">
        <v>20179</v>
      </c>
      <c r="B794" s="79" t="e">
        <f>NA()</f>
        <v>#N/A</v>
      </c>
      <c r="C794" s="80" t="e">
        <v>#N/A</v>
      </c>
      <c r="D794" s="14">
        <f>67.5</f>
        <v>67.5</v>
      </c>
      <c r="E794" s="14" t="e">
        <f>NA()</f>
        <v>#N/A</v>
      </c>
      <c r="F794" s="14" t="e">
        <f>NA()</f>
        <v>#N/A</v>
      </c>
      <c r="G794" s="14" t="e">
        <f>NA()</f>
        <v>#N/A</v>
      </c>
      <c r="H794" s="14" t="e">
        <f>NA()</f>
        <v>#N/A</v>
      </c>
      <c r="I794" s="86" t="e">
        <f>NA()</f>
        <v>#N/A</v>
      </c>
      <c r="J794" s="87" t="e">
        <f>data비교작업!S797*100</f>
        <v>#N/A</v>
      </c>
      <c r="K794" s="85" t="e">
        <v>#N/A</v>
      </c>
    </row>
    <row r="795" spans="1:11" ht="18" customHeight="1" x14ac:dyDescent="0.25">
      <c r="A795" s="5">
        <v>20148</v>
      </c>
      <c r="B795" s="79" t="e">
        <f>NA()</f>
        <v>#N/A</v>
      </c>
      <c r="C795" s="80" t="e">
        <v>#N/A</v>
      </c>
      <c r="D795" s="14">
        <f>67.8</f>
        <v>67.8</v>
      </c>
      <c r="E795" s="14" t="e">
        <f>NA()</f>
        <v>#N/A</v>
      </c>
      <c r="F795" s="14" t="e">
        <f>NA()</f>
        <v>#N/A</v>
      </c>
      <c r="G795" s="14" t="e">
        <f>NA()</f>
        <v>#N/A</v>
      </c>
      <c r="H795" s="14" t="e">
        <f>NA()</f>
        <v>#N/A</v>
      </c>
      <c r="I795" s="86" t="e">
        <f>NA()</f>
        <v>#N/A</v>
      </c>
      <c r="J795" s="87" t="e">
        <f>data비교작업!S798*100</f>
        <v>#N/A</v>
      </c>
      <c r="K795" s="85" t="e">
        <v>#N/A</v>
      </c>
    </row>
    <row r="796" spans="1:11" ht="18" customHeight="1" x14ac:dyDescent="0.25">
      <c r="A796" s="5">
        <v>20120</v>
      </c>
      <c r="B796" s="79" t="e">
        <f>NA()</f>
        <v>#N/A</v>
      </c>
      <c r="C796" s="80" t="e">
        <v>#N/A</v>
      </c>
      <c r="D796" s="14">
        <f>63</f>
        <v>63</v>
      </c>
      <c r="E796" s="14" t="e">
        <f>NA()</f>
        <v>#N/A</v>
      </c>
      <c r="F796" s="14" t="e">
        <f>NA()</f>
        <v>#N/A</v>
      </c>
      <c r="G796" s="14" t="e">
        <f>NA()</f>
        <v>#N/A</v>
      </c>
      <c r="H796" s="14" t="e">
        <f>NA()</f>
        <v>#N/A</v>
      </c>
      <c r="I796" s="86" t="e">
        <f>NA()</f>
        <v>#N/A</v>
      </c>
      <c r="J796" s="87" t="e">
        <f>data비교작업!S799*100</f>
        <v>#N/A</v>
      </c>
      <c r="K796" s="85" t="e">
        <v>#N/A</v>
      </c>
    </row>
    <row r="797" spans="1:11" ht="18" customHeight="1" x14ac:dyDescent="0.25">
      <c r="A797" s="5">
        <v>20089</v>
      </c>
      <c r="B797" s="79" t="e">
        <f>NA()</f>
        <v>#N/A</v>
      </c>
      <c r="C797" s="80" t="e">
        <v>#N/A</v>
      </c>
      <c r="D797" s="14">
        <f>63.8</f>
        <v>63.8</v>
      </c>
      <c r="E797" s="14" t="e">
        <f>NA()</f>
        <v>#N/A</v>
      </c>
      <c r="F797" s="14" t="e">
        <f>NA()</f>
        <v>#N/A</v>
      </c>
      <c r="G797" s="14" t="e">
        <f>NA()</f>
        <v>#N/A</v>
      </c>
      <c r="H797" s="14" t="e">
        <f>NA()</f>
        <v>#N/A</v>
      </c>
      <c r="I797" s="86" t="e">
        <f>NA()</f>
        <v>#N/A</v>
      </c>
      <c r="J797" s="87" t="e">
        <f>data비교작업!S800*100</f>
        <v>#N/A</v>
      </c>
      <c r="K797" s="85" t="e">
        <v>#N/A</v>
      </c>
    </row>
    <row r="798" spans="1:11" ht="18" customHeight="1" x14ac:dyDescent="0.25">
      <c r="A798" s="5">
        <v>20058</v>
      </c>
      <c r="B798" s="79" t="e">
        <f>NA()</f>
        <v>#N/A</v>
      </c>
      <c r="C798" s="80" t="e">
        <v>#N/A</v>
      </c>
      <c r="D798" s="14">
        <f>58.8</f>
        <v>58.8</v>
      </c>
      <c r="E798" s="14" t="e">
        <f>NA()</f>
        <v>#N/A</v>
      </c>
      <c r="F798" s="14" t="e">
        <f>NA()</f>
        <v>#N/A</v>
      </c>
      <c r="G798" s="14" t="e">
        <f>NA()</f>
        <v>#N/A</v>
      </c>
      <c r="H798" s="14" t="e">
        <f>NA()</f>
        <v>#N/A</v>
      </c>
      <c r="I798" s="86" t="e">
        <f>NA()</f>
        <v>#N/A</v>
      </c>
      <c r="J798" s="87" t="e">
        <f>data비교작업!S801*100</f>
        <v>#N/A</v>
      </c>
      <c r="K798" s="85" t="e">
        <v>#N/A</v>
      </c>
    </row>
    <row r="799" spans="1:11" ht="18" customHeight="1" x14ac:dyDescent="0.25">
      <c r="A799" s="5">
        <v>20028</v>
      </c>
      <c r="B799" s="79" t="e">
        <f>NA()</f>
        <v>#N/A</v>
      </c>
      <c r="C799" s="80" t="e">
        <v>#N/A</v>
      </c>
      <c r="D799" s="14">
        <f>58.2</f>
        <v>58.2</v>
      </c>
      <c r="E799" s="14" t="e">
        <f>NA()</f>
        <v>#N/A</v>
      </c>
      <c r="F799" s="14" t="e">
        <f>NA()</f>
        <v>#N/A</v>
      </c>
      <c r="G799" s="14" t="e">
        <f>NA()</f>
        <v>#N/A</v>
      </c>
      <c r="H799" s="14" t="e">
        <f>NA()</f>
        <v>#N/A</v>
      </c>
      <c r="I799" s="86" t="e">
        <f>NA()</f>
        <v>#N/A</v>
      </c>
      <c r="J799" s="87" t="e">
        <f>data비교작업!S802*100</f>
        <v>#N/A</v>
      </c>
      <c r="K799" s="85" t="e">
        <v>#N/A</v>
      </c>
    </row>
    <row r="800" spans="1:11" ht="18" customHeight="1" x14ac:dyDescent="0.25">
      <c r="A800" s="5">
        <v>19997</v>
      </c>
      <c r="B800" s="79" t="e">
        <f>NA()</f>
        <v>#N/A</v>
      </c>
      <c r="C800" s="80" t="e">
        <v>#N/A</v>
      </c>
      <c r="D800" s="14">
        <f>53.5</f>
        <v>53.5</v>
      </c>
      <c r="E800" s="14" t="e">
        <f>NA()</f>
        <v>#N/A</v>
      </c>
      <c r="F800" s="14" t="e">
        <f>NA()</f>
        <v>#N/A</v>
      </c>
      <c r="G800" s="14" t="e">
        <f>NA()</f>
        <v>#N/A</v>
      </c>
      <c r="H800" s="14" t="e">
        <f>NA()</f>
        <v>#N/A</v>
      </c>
      <c r="I800" s="86" t="e">
        <f>NA()</f>
        <v>#N/A</v>
      </c>
      <c r="J800" s="87" t="e">
        <f>data비교작업!S803*100</f>
        <v>#N/A</v>
      </c>
      <c r="K800" s="85" t="e">
        <v>#N/A</v>
      </c>
    </row>
    <row r="801" spans="1:11" ht="18" customHeight="1" x14ac:dyDescent="0.25">
      <c r="A801" s="5">
        <v>19967</v>
      </c>
      <c r="B801" s="79" t="e">
        <f>NA()</f>
        <v>#N/A</v>
      </c>
      <c r="C801" s="80" t="e">
        <v>#N/A</v>
      </c>
      <c r="D801" s="14">
        <f>54.4</f>
        <v>54.4</v>
      </c>
      <c r="E801" s="14" t="e">
        <f>NA()</f>
        <v>#N/A</v>
      </c>
      <c r="F801" s="14" t="e">
        <f>NA()</f>
        <v>#N/A</v>
      </c>
      <c r="G801" s="14" t="e">
        <f>NA()</f>
        <v>#N/A</v>
      </c>
      <c r="H801" s="14" t="e">
        <f>NA()</f>
        <v>#N/A</v>
      </c>
      <c r="I801" s="86" t="e">
        <f>NA()</f>
        <v>#N/A</v>
      </c>
      <c r="J801" s="87" t="e">
        <f>data비교작업!S804*100</f>
        <v>#N/A</v>
      </c>
      <c r="K801" s="85" t="e">
        <v>#N/A</v>
      </c>
    </row>
    <row r="802" spans="1:11" ht="18" customHeight="1" x14ac:dyDescent="0.25">
      <c r="A802" s="5">
        <v>19936</v>
      </c>
      <c r="B802" s="79" t="e">
        <f>NA()</f>
        <v>#N/A</v>
      </c>
      <c r="C802" s="80" t="e">
        <v>#N/A</v>
      </c>
      <c r="D802" s="14">
        <f>51.7</f>
        <v>51.7</v>
      </c>
      <c r="E802" s="14" t="e">
        <f>NA()</f>
        <v>#N/A</v>
      </c>
      <c r="F802" s="14" t="e">
        <f>NA()</f>
        <v>#N/A</v>
      </c>
      <c r="G802" s="14" t="e">
        <f>NA()</f>
        <v>#N/A</v>
      </c>
      <c r="H802" s="14" t="e">
        <f>NA()</f>
        <v>#N/A</v>
      </c>
      <c r="I802" s="86" t="e">
        <f>NA()</f>
        <v>#N/A</v>
      </c>
      <c r="J802" s="87" t="e">
        <f>data비교작업!S805*100</f>
        <v>#N/A</v>
      </c>
      <c r="K802" s="85" t="e">
        <v>#N/A</v>
      </c>
    </row>
    <row r="803" spans="1:11" ht="18" customHeight="1" x14ac:dyDescent="0.25">
      <c r="A803" s="5">
        <v>19905</v>
      </c>
      <c r="B803" s="79" t="e">
        <f>NA()</f>
        <v>#N/A</v>
      </c>
      <c r="C803" s="80" t="e">
        <v>#N/A</v>
      </c>
      <c r="D803" s="14">
        <f>52.1</f>
        <v>52.1</v>
      </c>
      <c r="E803" s="14" t="e">
        <f>NA()</f>
        <v>#N/A</v>
      </c>
      <c r="F803" s="14" t="e">
        <f>NA()</f>
        <v>#N/A</v>
      </c>
      <c r="G803" s="14" t="e">
        <f>NA()</f>
        <v>#N/A</v>
      </c>
      <c r="H803" s="14" t="e">
        <f>NA()</f>
        <v>#N/A</v>
      </c>
      <c r="I803" s="86" t="e">
        <f>NA()</f>
        <v>#N/A</v>
      </c>
      <c r="J803" s="87" t="e">
        <f>data비교작업!S806*100</f>
        <v>#N/A</v>
      </c>
      <c r="K803" s="85" t="e">
        <v>#N/A</v>
      </c>
    </row>
    <row r="804" spans="1:11" ht="18" customHeight="1" x14ac:dyDescent="0.25">
      <c r="A804" s="5">
        <v>19875</v>
      </c>
      <c r="B804" s="79" t="e">
        <f>NA()</f>
        <v>#N/A</v>
      </c>
      <c r="C804" s="80" t="e">
        <v>#N/A</v>
      </c>
      <c r="D804" s="14">
        <f>50.1</f>
        <v>50.1</v>
      </c>
      <c r="E804" s="14" t="e">
        <f>NA()</f>
        <v>#N/A</v>
      </c>
      <c r="F804" s="14" t="e">
        <f>NA()</f>
        <v>#N/A</v>
      </c>
      <c r="G804" s="14" t="e">
        <f>NA()</f>
        <v>#N/A</v>
      </c>
      <c r="H804" s="14" t="e">
        <f>NA()</f>
        <v>#N/A</v>
      </c>
      <c r="I804" s="86" t="e">
        <f>NA()</f>
        <v>#N/A</v>
      </c>
      <c r="J804" s="87" t="e">
        <f>data비교작업!S807*100</f>
        <v>#N/A</v>
      </c>
      <c r="K804" s="85" t="e">
        <v>#N/A</v>
      </c>
    </row>
    <row r="805" spans="1:11" ht="18" customHeight="1" x14ac:dyDescent="0.25">
      <c r="A805" s="5">
        <v>19844</v>
      </c>
      <c r="B805" s="79" t="e">
        <f>NA()</f>
        <v>#N/A</v>
      </c>
      <c r="C805" s="80" t="e">
        <v>#N/A</v>
      </c>
      <c r="D805" s="14">
        <f>47.7</f>
        <v>47.7</v>
      </c>
      <c r="E805" s="14" t="e">
        <f>NA()</f>
        <v>#N/A</v>
      </c>
      <c r="F805" s="14" t="e">
        <f>NA()</f>
        <v>#N/A</v>
      </c>
      <c r="G805" s="14" t="e">
        <f>NA()</f>
        <v>#N/A</v>
      </c>
      <c r="H805" s="14" t="e">
        <f>NA()</f>
        <v>#N/A</v>
      </c>
      <c r="I805" s="86" t="e">
        <f>NA()</f>
        <v>#N/A</v>
      </c>
      <c r="J805" s="87" t="e">
        <f>data비교작업!S808*100</f>
        <v>#N/A</v>
      </c>
      <c r="K805" s="85" t="e">
        <v>#N/A</v>
      </c>
    </row>
    <row r="806" spans="1:11" ht="18" customHeight="1" x14ac:dyDescent="0.25">
      <c r="A806" s="5">
        <v>19814</v>
      </c>
      <c r="B806" s="79" t="e">
        <f>NA()</f>
        <v>#N/A</v>
      </c>
      <c r="C806" s="80" t="e">
        <v>#N/A</v>
      </c>
      <c r="D806" s="14">
        <f>44.7</f>
        <v>44.7</v>
      </c>
      <c r="E806" s="14" t="e">
        <f>NA()</f>
        <v>#N/A</v>
      </c>
      <c r="F806" s="14" t="e">
        <f>NA()</f>
        <v>#N/A</v>
      </c>
      <c r="G806" s="14" t="e">
        <f>NA()</f>
        <v>#N/A</v>
      </c>
      <c r="H806" s="14" t="e">
        <f>NA()</f>
        <v>#N/A</v>
      </c>
      <c r="I806" s="86" t="e">
        <f>NA()</f>
        <v>#N/A</v>
      </c>
      <c r="J806" s="87" t="e">
        <f>data비교작업!S809*100</f>
        <v>#N/A</v>
      </c>
      <c r="K806" s="85" t="e">
        <v>#N/A</v>
      </c>
    </row>
    <row r="807" spans="1:11" ht="18" customHeight="1" x14ac:dyDescent="0.25">
      <c r="A807" s="5">
        <v>19783</v>
      </c>
      <c r="B807" s="79" t="e">
        <f>NA()</f>
        <v>#N/A</v>
      </c>
      <c r="C807" s="80" t="e">
        <v>#N/A</v>
      </c>
      <c r="D807" s="14">
        <f>40.7</f>
        <v>40.700000000000003</v>
      </c>
      <c r="E807" s="14" t="e">
        <f>NA()</f>
        <v>#N/A</v>
      </c>
      <c r="F807" s="14" t="e">
        <f>NA()</f>
        <v>#N/A</v>
      </c>
      <c r="G807" s="14" t="e">
        <f>NA()</f>
        <v>#N/A</v>
      </c>
      <c r="H807" s="14" t="e">
        <f>NA()</f>
        <v>#N/A</v>
      </c>
      <c r="I807" s="86" t="e">
        <f>NA()</f>
        <v>#N/A</v>
      </c>
      <c r="J807" s="87" t="e">
        <f>data비교작업!S810*100</f>
        <v>#N/A</v>
      </c>
      <c r="K807" s="85" t="e">
        <v>#N/A</v>
      </c>
    </row>
    <row r="808" spans="1:11" ht="18" customHeight="1" x14ac:dyDescent="0.25">
      <c r="A808" s="5">
        <v>19755</v>
      </c>
      <c r="B808" s="79" t="e">
        <f>NA()</f>
        <v>#N/A</v>
      </c>
      <c r="C808" s="80" t="e">
        <v>#N/A</v>
      </c>
      <c r="D808" s="14">
        <f>37.4</f>
        <v>37.4</v>
      </c>
      <c r="E808" s="14" t="e">
        <f>NA()</f>
        <v>#N/A</v>
      </c>
      <c r="F808" s="14" t="e">
        <f>NA()</f>
        <v>#N/A</v>
      </c>
      <c r="G808" s="14" t="e">
        <f>NA()</f>
        <v>#N/A</v>
      </c>
      <c r="H808" s="14" t="e">
        <f>NA()</f>
        <v>#N/A</v>
      </c>
      <c r="I808" s="86" t="e">
        <f>NA()</f>
        <v>#N/A</v>
      </c>
      <c r="J808" s="87" t="e">
        <f>data비교작업!S811*100</f>
        <v>#N/A</v>
      </c>
      <c r="K808" s="85" t="e">
        <v>#N/A</v>
      </c>
    </row>
    <row r="809" spans="1:11" ht="18" customHeight="1" x14ac:dyDescent="0.25">
      <c r="A809" s="5">
        <v>19724</v>
      </c>
      <c r="B809" s="79" t="e">
        <f>NA()</f>
        <v>#N/A</v>
      </c>
      <c r="C809" s="80" t="e">
        <v>#N/A</v>
      </c>
      <c r="D809" s="14">
        <f>35.6</f>
        <v>35.6</v>
      </c>
      <c r="E809" s="14" t="e">
        <f>NA()</f>
        <v>#N/A</v>
      </c>
      <c r="F809" s="14" t="e">
        <f>NA()</f>
        <v>#N/A</v>
      </c>
      <c r="G809" s="14" t="e">
        <f>NA()</f>
        <v>#N/A</v>
      </c>
      <c r="H809" s="14" t="e">
        <f>NA()</f>
        <v>#N/A</v>
      </c>
      <c r="I809" s="86" t="e">
        <f>NA()</f>
        <v>#N/A</v>
      </c>
      <c r="J809" s="87" t="e">
        <f>data비교작업!S812*100</f>
        <v>#N/A</v>
      </c>
      <c r="K809" s="85" t="e">
        <v>#N/A</v>
      </c>
    </row>
    <row r="810" spans="1:11" ht="18" customHeight="1" x14ac:dyDescent="0.25">
      <c r="A810" s="5">
        <v>19693</v>
      </c>
      <c r="B810" s="79" t="e">
        <f>NA()</f>
        <v>#N/A</v>
      </c>
      <c r="C810" s="80" t="e">
        <v>#N/A</v>
      </c>
      <c r="D810" s="14">
        <f>36.9</f>
        <v>36.9</v>
      </c>
      <c r="E810" s="14" t="e">
        <f>NA()</f>
        <v>#N/A</v>
      </c>
      <c r="F810" s="14" t="e">
        <f>NA()</f>
        <v>#N/A</v>
      </c>
      <c r="G810" s="14" t="e">
        <f>NA()</f>
        <v>#N/A</v>
      </c>
      <c r="H810" s="14" t="e">
        <f>NA()</f>
        <v>#N/A</v>
      </c>
      <c r="I810" s="86" t="e">
        <f>NA()</f>
        <v>#N/A</v>
      </c>
      <c r="J810" s="87" t="e">
        <f>data비교작업!S813*100</f>
        <v>#N/A</v>
      </c>
      <c r="K810" s="85" t="e">
        <v>#N/A</v>
      </c>
    </row>
    <row r="811" spans="1:11" ht="18" customHeight="1" x14ac:dyDescent="0.25">
      <c r="A811" s="5">
        <v>19663</v>
      </c>
      <c r="B811" s="79" t="e">
        <f>NA()</f>
        <v>#N/A</v>
      </c>
      <c r="C811" s="80" t="e">
        <v>#N/A</v>
      </c>
      <c r="D811" s="14">
        <f>37.4</f>
        <v>37.4</v>
      </c>
      <c r="E811" s="14" t="e">
        <f>NA()</f>
        <v>#N/A</v>
      </c>
      <c r="F811" s="14" t="e">
        <f>NA()</f>
        <v>#N/A</v>
      </c>
      <c r="G811" s="14" t="e">
        <f>NA()</f>
        <v>#N/A</v>
      </c>
      <c r="H811" s="14" t="e">
        <f>NA()</f>
        <v>#N/A</v>
      </c>
      <c r="I811" s="86" t="e">
        <f>NA()</f>
        <v>#N/A</v>
      </c>
      <c r="J811" s="87" t="e">
        <f>data비교작업!S814*100</f>
        <v>#N/A</v>
      </c>
      <c r="K811" s="85" t="e">
        <v>#N/A</v>
      </c>
    </row>
    <row r="812" spans="1:11" ht="18" customHeight="1" x14ac:dyDescent="0.25">
      <c r="A812" s="5">
        <v>19632</v>
      </c>
      <c r="B812" s="79" t="e">
        <f>NA()</f>
        <v>#N/A</v>
      </c>
      <c r="C812" s="80" t="e">
        <v>#N/A</v>
      </c>
      <c r="D812" s="14">
        <f>40.2</f>
        <v>40.200000000000003</v>
      </c>
      <c r="E812" s="14" t="e">
        <f>NA()</f>
        <v>#N/A</v>
      </c>
      <c r="F812" s="14" t="e">
        <f>NA()</f>
        <v>#N/A</v>
      </c>
      <c r="G812" s="14" t="e">
        <f>NA()</f>
        <v>#N/A</v>
      </c>
      <c r="H812" s="14" t="e">
        <f>NA()</f>
        <v>#N/A</v>
      </c>
      <c r="I812" s="86" t="e">
        <f>NA()</f>
        <v>#N/A</v>
      </c>
      <c r="J812" s="87" t="e">
        <f>data비교작업!S815*100</f>
        <v>#N/A</v>
      </c>
      <c r="K812" s="85" t="e">
        <v>#N/A</v>
      </c>
    </row>
    <row r="813" spans="1:11" ht="18" customHeight="1" x14ac:dyDescent="0.25">
      <c r="A813" s="5">
        <v>19602</v>
      </c>
      <c r="B813" s="79" t="e">
        <f>NA()</f>
        <v>#N/A</v>
      </c>
      <c r="C813" s="80" t="e">
        <v>#N/A</v>
      </c>
      <c r="D813" s="14">
        <f>43.5</f>
        <v>43.5</v>
      </c>
      <c r="E813" s="14" t="e">
        <f>NA()</f>
        <v>#N/A</v>
      </c>
      <c r="F813" s="14" t="e">
        <f>NA()</f>
        <v>#N/A</v>
      </c>
      <c r="G813" s="14" t="e">
        <f>NA()</f>
        <v>#N/A</v>
      </c>
      <c r="H813" s="14" t="e">
        <f>NA()</f>
        <v>#N/A</v>
      </c>
      <c r="I813" s="86" t="e">
        <f>NA()</f>
        <v>#N/A</v>
      </c>
      <c r="J813" s="87" t="e">
        <f>data비교작업!S816*100</f>
        <v>#N/A</v>
      </c>
      <c r="K813" s="85" t="e">
        <v>#N/A</v>
      </c>
    </row>
    <row r="814" spans="1:11" ht="18" customHeight="1" x14ac:dyDescent="0.25">
      <c r="A814" s="5">
        <v>19571</v>
      </c>
      <c r="B814" s="79" t="e">
        <f>NA()</f>
        <v>#N/A</v>
      </c>
      <c r="C814" s="80" t="e">
        <v>#N/A</v>
      </c>
      <c r="D814" s="14">
        <f>46.3</f>
        <v>46.3</v>
      </c>
      <c r="E814" s="14" t="e">
        <f>NA()</f>
        <v>#N/A</v>
      </c>
      <c r="F814" s="14" t="e">
        <f>NA()</f>
        <v>#N/A</v>
      </c>
      <c r="G814" s="14" t="e">
        <f>NA()</f>
        <v>#N/A</v>
      </c>
      <c r="H814" s="14" t="e">
        <f>NA()</f>
        <v>#N/A</v>
      </c>
      <c r="I814" s="86" t="e">
        <f>NA()</f>
        <v>#N/A</v>
      </c>
      <c r="J814" s="87" t="e">
        <f>data비교작업!S817*100</f>
        <v>#N/A</v>
      </c>
      <c r="K814" s="85" t="e">
        <v>#N/A</v>
      </c>
    </row>
    <row r="815" spans="1:11" ht="18" customHeight="1" x14ac:dyDescent="0.25">
      <c r="A815" s="5">
        <v>19540</v>
      </c>
      <c r="B815" s="79" t="e">
        <f>NA()</f>
        <v>#N/A</v>
      </c>
      <c r="C815" s="80" t="e">
        <v>#N/A</v>
      </c>
      <c r="D815" s="14">
        <f>48.5</f>
        <v>48.5</v>
      </c>
      <c r="E815" s="14" t="e">
        <f>NA()</f>
        <v>#N/A</v>
      </c>
      <c r="F815" s="14" t="e">
        <f>NA()</f>
        <v>#N/A</v>
      </c>
      <c r="G815" s="14" t="e">
        <f>NA()</f>
        <v>#N/A</v>
      </c>
      <c r="H815" s="14" t="e">
        <f>NA()</f>
        <v>#N/A</v>
      </c>
      <c r="I815" s="86" t="e">
        <f>NA()</f>
        <v>#N/A</v>
      </c>
      <c r="J815" s="87" t="e">
        <f>data비교작업!S818*100</f>
        <v>#N/A</v>
      </c>
      <c r="K815" s="85" t="e">
        <v>#N/A</v>
      </c>
    </row>
    <row r="816" spans="1:11" ht="18" customHeight="1" x14ac:dyDescent="0.25">
      <c r="A816" s="5">
        <v>19510</v>
      </c>
      <c r="B816" s="79" t="e">
        <f>NA()</f>
        <v>#N/A</v>
      </c>
      <c r="C816" s="80" t="e">
        <v>#N/A</v>
      </c>
      <c r="D816" s="14">
        <f>48.9</f>
        <v>48.9</v>
      </c>
      <c r="E816" s="14" t="e">
        <f>NA()</f>
        <v>#N/A</v>
      </c>
      <c r="F816" s="14" t="e">
        <f>NA()</f>
        <v>#N/A</v>
      </c>
      <c r="G816" s="14" t="e">
        <f>NA()</f>
        <v>#N/A</v>
      </c>
      <c r="H816" s="14" t="e">
        <f>NA()</f>
        <v>#N/A</v>
      </c>
      <c r="I816" s="86" t="e">
        <f>NA()</f>
        <v>#N/A</v>
      </c>
      <c r="J816" s="87" t="e">
        <f>data비교작업!S819*100</f>
        <v>#N/A</v>
      </c>
      <c r="K816" s="85" t="e">
        <v>#N/A</v>
      </c>
    </row>
    <row r="817" spans="1:11" ht="18" customHeight="1" x14ac:dyDescent="0.25">
      <c r="A817" s="5">
        <v>19479</v>
      </c>
      <c r="B817" s="79" t="e">
        <f>NA()</f>
        <v>#N/A</v>
      </c>
      <c r="C817" s="80" t="e">
        <v>#N/A</v>
      </c>
      <c r="D817" s="14">
        <f>51.1</f>
        <v>51.1</v>
      </c>
      <c r="E817" s="14" t="e">
        <f>NA()</f>
        <v>#N/A</v>
      </c>
      <c r="F817" s="14" t="e">
        <f>NA()</f>
        <v>#N/A</v>
      </c>
      <c r="G817" s="14" t="e">
        <f>NA()</f>
        <v>#N/A</v>
      </c>
      <c r="H817" s="14" t="e">
        <f>NA()</f>
        <v>#N/A</v>
      </c>
      <c r="I817" s="86" t="e">
        <f>NA()</f>
        <v>#N/A</v>
      </c>
      <c r="J817" s="87" t="e">
        <f>data비교작업!S820*100</f>
        <v>#N/A</v>
      </c>
      <c r="K817" s="85" t="e">
        <v>#N/A</v>
      </c>
    </row>
    <row r="818" spans="1:11" ht="18" customHeight="1" x14ac:dyDescent="0.25">
      <c r="A818" s="5">
        <v>19449</v>
      </c>
      <c r="B818" s="79" t="e">
        <f>NA()</f>
        <v>#N/A</v>
      </c>
      <c r="C818" s="80" t="e">
        <v>#N/A</v>
      </c>
      <c r="D818" s="14">
        <f>50.5</f>
        <v>50.5</v>
      </c>
      <c r="E818" s="14" t="e">
        <f>NA()</f>
        <v>#N/A</v>
      </c>
      <c r="F818" s="14" t="e">
        <f>NA()</f>
        <v>#N/A</v>
      </c>
      <c r="G818" s="14" t="e">
        <f>NA()</f>
        <v>#N/A</v>
      </c>
      <c r="H818" s="14" t="e">
        <f>NA()</f>
        <v>#N/A</v>
      </c>
      <c r="I818" s="86" t="e">
        <f>NA()</f>
        <v>#N/A</v>
      </c>
      <c r="J818" s="87" t="e">
        <f>data비교작업!S821*100</f>
        <v>#N/A</v>
      </c>
      <c r="K818" s="85" t="e">
        <v>#N/A</v>
      </c>
    </row>
    <row r="819" spans="1:11" ht="18" customHeight="1" x14ac:dyDescent="0.25">
      <c r="A819" s="5">
        <v>19418</v>
      </c>
      <c r="B819" s="79" t="e">
        <f>NA()</f>
        <v>#N/A</v>
      </c>
      <c r="C819" s="80" t="e">
        <v>#N/A</v>
      </c>
      <c r="D819" s="14">
        <f>55.4</f>
        <v>55.4</v>
      </c>
      <c r="E819" s="14" t="e">
        <f>NA()</f>
        <v>#N/A</v>
      </c>
      <c r="F819" s="14" t="e">
        <f>NA()</f>
        <v>#N/A</v>
      </c>
      <c r="G819" s="14" t="e">
        <f>NA()</f>
        <v>#N/A</v>
      </c>
      <c r="H819" s="14" t="e">
        <f>NA()</f>
        <v>#N/A</v>
      </c>
      <c r="I819" s="86" t="e">
        <f>NA()</f>
        <v>#N/A</v>
      </c>
      <c r="J819" s="87" t="e">
        <f>data비교작업!S822*100</f>
        <v>#N/A</v>
      </c>
      <c r="K819" s="85" t="e">
        <v>#N/A</v>
      </c>
    </row>
    <row r="820" spans="1:11" ht="18" customHeight="1" x14ac:dyDescent="0.25">
      <c r="A820" s="5">
        <v>19390</v>
      </c>
      <c r="B820" s="79" t="e">
        <f>NA()</f>
        <v>#N/A</v>
      </c>
      <c r="C820" s="80" t="e">
        <v>#N/A</v>
      </c>
      <c r="D820" s="14">
        <f>59.4</f>
        <v>59.4</v>
      </c>
      <c r="E820" s="14" t="e">
        <f>NA()</f>
        <v>#N/A</v>
      </c>
      <c r="F820" s="14" t="e">
        <f>NA()</f>
        <v>#N/A</v>
      </c>
      <c r="G820" s="14" t="e">
        <f>NA()</f>
        <v>#N/A</v>
      </c>
      <c r="H820" s="14" t="e">
        <f>NA()</f>
        <v>#N/A</v>
      </c>
      <c r="I820" s="86" t="e">
        <f>NA()</f>
        <v>#N/A</v>
      </c>
      <c r="J820" s="87" t="e">
        <f>data비교작업!S823*100</f>
        <v>#N/A</v>
      </c>
      <c r="K820" s="85" t="e">
        <v>#N/A</v>
      </c>
    </row>
    <row r="821" spans="1:11" ht="18" customHeight="1" x14ac:dyDescent="0.25">
      <c r="A821" s="5">
        <v>19359</v>
      </c>
      <c r="B821" s="79" t="e">
        <f>NA()</f>
        <v>#N/A</v>
      </c>
      <c r="C821" s="80" t="e">
        <v>#N/A</v>
      </c>
      <c r="D821" s="14">
        <f>55.8</f>
        <v>55.8</v>
      </c>
      <c r="E821" s="14" t="e">
        <f>NA()</f>
        <v>#N/A</v>
      </c>
      <c r="F821" s="14" t="e">
        <f>NA()</f>
        <v>#N/A</v>
      </c>
      <c r="G821" s="14" t="e">
        <f>NA()</f>
        <v>#N/A</v>
      </c>
      <c r="H821" s="14" t="e">
        <f>NA()</f>
        <v>#N/A</v>
      </c>
      <c r="I821" s="86" t="e">
        <f>NA()</f>
        <v>#N/A</v>
      </c>
      <c r="J821" s="87" t="e">
        <f>data비교작업!S824*100</f>
        <v>#N/A</v>
      </c>
      <c r="K821" s="85" t="e">
        <v>#N/A</v>
      </c>
    </row>
    <row r="822" spans="1:11" ht="18" customHeight="1" x14ac:dyDescent="0.25">
      <c r="A822" s="5">
        <v>19328</v>
      </c>
      <c r="B822" s="79" t="e">
        <f>NA()</f>
        <v>#N/A</v>
      </c>
      <c r="C822" s="80" t="e">
        <v>#N/A</v>
      </c>
      <c r="D822" s="14">
        <f>56.8</f>
        <v>56.8</v>
      </c>
      <c r="E822" s="14" t="e">
        <f>NA()</f>
        <v>#N/A</v>
      </c>
      <c r="F822" s="14" t="e">
        <f>NA()</f>
        <v>#N/A</v>
      </c>
      <c r="G822" s="14" t="e">
        <f>NA()</f>
        <v>#N/A</v>
      </c>
      <c r="H822" s="14" t="e">
        <f>NA()</f>
        <v>#N/A</v>
      </c>
      <c r="I822" s="86" t="e">
        <f>NA()</f>
        <v>#N/A</v>
      </c>
      <c r="J822" s="87" t="e">
        <f>data비교작업!S825*100</f>
        <v>#N/A</v>
      </c>
      <c r="K822" s="85" t="e">
        <v>#N/A</v>
      </c>
    </row>
    <row r="823" spans="1:11" ht="18" customHeight="1" x14ac:dyDescent="0.25">
      <c r="A823" s="5">
        <v>19298</v>
      </c>
      <c r="B823" s="79" t="e">
        <f>NA()</f>
        <v>#N/A</v>
      </c>
      <c r="C823" s="80" t="e">
        <v>#N/A</v>
      </c>
      <c r="D823" s="14">
        <f>56.2</f>
        <v>56.2</v>
      </c>
      <c r="E823" s="14" t="e">
        <f>NA()</f>
        <v>#N/A</v>
      </c>
      <c r="F823" s="14" t="e">
        <f>NA()</f>
        <v>#N/A</v>
      </c>
      <c r="G823" s="14" t="e">
        <f>NA()</f>
        <v>#N/A</v>
      </c>
      <c r="H823" s="14" t="e">
        <f>NA()</f>
        <v>#N/A</v>
      </c>
      <c r="I823" s="86" t="e">
        <f>NA()</f>
        <v>#N/A</v>
      </c>
      <c r="J823" s="87" t="e">
        <f>data비교작업!S826*100</f>
        <v>#N/A</v>
      </c>
      <c r="K823" s="85" t="e">
        <v>#N/A</v>
      </c>
    </row>
    <row r="824" spans="1:11" ht="18" customHeight="1" x14ac:dyDescent="0.25">
      <c r="A824" s="5">
        <v>19267</v>
      </c>
      <c r="B824" s="79" t="e">
        <f>NA()</f>
        <v>#N/A</v>
      </c>
      <c r="C824" s="80" t="e">
        <v>#N/A</v>
      </c>
      <c r="D824" s="14">
        <f>56.1</f>
        <v>56.1</v>
      </c>
      <c r="E824" s="14" t="e">
        <f>NA()</f>
        <v>#N/A</v>
      </c>
      <c r="F824" s="14" t="e">
        <f>NA()</f>
        <v>#N/A</v>
      </c>
      <c r="G824" s="14" t="e">
        <f>NA()</f>
        <v>#N/A</v>
      </c>
      <c r="H824" s="14" t="e">
        <f>NA()</f>
        <v>#N/A</v>
      </c>
      <c r="I824" s="86" t="e">
        <f>NA()</f>
        <v>#N/A</v>
      </c>
      <c r="J824" s="87" t="e">
        <f>data비교작업!S827*100</f>
        <v>#N/A</v>
      </c>
      <c r="K824" s="85" t="e">
        <v>#N/A</v>
      </c>
    </row>
    <row r="825" spans="1:11" ht="18" customHeight="1" x14ac:dyDescent="0.25">
      <c r="A825" s="5">
        <v>19237</v>
      </c>
      <c r="B825" s="79" t="e">
        <f>NA()</f>
        <v>#N/A</v>
      </c>
      <c r="C825" s="80" t="e">
        <v>#N/A</v>
      </c>
      <c r="D825" s="14">
        <f>60.4</f>
        <v>60.4</v>
      </c>
      <c r="E825" s="14" t="e">
        <f>NA()</f>
        <v>#N/A</v>
      </c>
      <c r="F825" s="14" t="e">
        <f>NA()</f>
        <v>#N/A</v>
      </c>
      <c r="G825" s="14" t="e">
        <f>NA()</f>
        <v>#N/A</v>
      </c>
      <c r="H825" s="14" t="e">
        <f>NA()</f>
        <v>#N/A</v>
      </c>
      <c r="I825" s="86" t="e">
        <f>NA()</f>
        <v>#N/A</v>
      </c>
      <c r="J825" s="87" t="e">
        <f>data비교작업!S828*100</f>
        <v>#N/A</v>
      </c>
      <c r="K825" s="85" t="e">
        <v>#N/A</v>
      </c>
    </row>
    <row r="826" spans="1:11" ht="18" customHeight="1" x14ac:dyDescent="0.25">
      <c r="A826" s="5">
        <v>19206</v>
      </c>
      <c r="B826" s="79" t="e">
        <f>NA()</f>
        <v>#N/A</v>
      </c>
      <c r="C826" s="80" t="e">
        <v>#N/A</v>
      </c>
      <c r="D826" s="14">
        <f>48.3</f>
        <v>48.3</v>
      </c>
      <c r="E826" s="14" t="e">
        <f>NA()</f>
        <v>#N/A</v>
      </c>
      <c r="F826" s="14" t="e">
        <f>NA()</f>
        <v>#N/A</v>
      </c>
      <c r="G826" s="14" t="e">
        <f>NA()</f>
        <v>#N/A</v>
      </c>
      <c r="H826" s="14" t="e">
        <f>NA()</f>
        <v>#N/A</v>
      </c>
      <c r="I826" s="86" t="e">
        <f>NA()</f>
        <v>#N/A</v>
      </c>
      <c r="J826" s="87" t="e">
        <f>data비교작업!S829*100</f>
        <v>#N/A</v>
      </c>
      <c r="K826" s="85" t="e">
        <v>#N/A</v>
      </c>
    </row>
    <row r="827" spans="1:11" ht="18" customHeight="1" x14ac:dyDescent="0.25">
      <c r="A827" s="5">
        <v>19175</v>
      </c>
      <c r="B827" s="79" t="e">
        <f>NA()</f>
        <v>#N/A</v>
      </c>
      <c r="C827" s="80" t="e">
        <v>#N/A</v>
      </c>
      <c r="D827" s="14">
        <f>43.3</f>
        <v>43.3</v>
      </c>
      <c r="E827" s="14" t="e">
        <f>NA()</f>
        <v>#N/A</v>
      </c>
      <c r="F827" s="14" t="e">
        <f>NA()</f>
        <v>#N/A</v>
      </c>
      <c r="G827" s="14" t="e">
        <f>NA()</f>
        <v>#N/A</v>
      </c>
      <c r="H827" s="14" t="e">
        <f>NA()</f>
        <v>#N/A</v>
      </c>
      <c r="I827" s="86" t="e">
        <f>NA()</f>
        <v>#N/A</v>
      </c>
      <c r="J827" s="87" t="e">
        <f>data비교작업!S830*100</f>
        <v>#N/A</v>
      </c>
      <c r="K827" s="85" t="e">
        <v>#N/A</v>
      </c>
    </row>
    <row r="828" spans="1:11" ht="18" customHeight="1" x14ac:dyDescent="0.25">
      <c r="A828" s="5">
        <v>19145</v>
      </c>
      <c r="B828" s="79" t="e">
        <f>NA()</f>
        <v>#N/A</v>
      </c>
      <c r="C828" s="80" t="e">
        <v>#N/A</v>
      </c>
      <c r="D828" s="14">
        <f>39.5</f>
        <v>39.5</v>
      </c>
      <c r="E828" s="14" t="e">
        <f>NA()</f>
        <v>#N/A</v>
      </c>
      <c r="F828" s="14" t="e">
        <f>NA()</f>
        <v>#N/A</v>
      </c>
      <c r="G828" s="14" t="e">
        <f>NA()</f>
        <v>#N/A</v>
      </c>
      <c r="H828" s="14" t="e">
        <f>NA()</f>
        <v>#N/A</v>
      </c>
      <c r="I828" s="86" t="e">
        <f>NA()</f>
        <v>#N/A</v>
      </c>
      <c r="J828" s="87" t="e">
        <f>data비교작업!S831*100</f>
        <v>#N/A</v>
      </c>
      <c r="K828" s="85" t="e">
        <v>#N/A</v>
      </c>
    </row>
    <row r="829" spans="1:11" ht="18" customHeight="1" x14ac:dyDescent="0.25">
      <c r="A829" s="5">
        <v>19114</v>
      </c>
      <c r="B829" s="79" t="e">
        <f>NA()</f>
        <v>#N/A</v>
      </c>
      <c r="C829" s="80" t="e">
        <v>#N/A</v>
      </c>
      <c r="D829" s="14">
        <f>36.7</f>
        <v>36.700000000000003</v>
      </c>
      <c r="E829" s="14" t="e">
        <f>NA()</f>
        <v>#N/A</v>
      </c>
      <c r="F829" s="14" t="e">
        <f>NA()</f>
        <v>#N/A</v>
      </c>
      <c r="G829" s="14" t="e">
        <f>NA()</f>
        <v>#N/A</v>
      </c>
      <c r="H829" s="14" t="e">
        <f>NA()</f>
        <v>#N/A</v>
      </c>
      <c r="I829" s="86" t="e">
        <f>NA()</f>
        <v>#N/A</v>
      </c>
      <c r="J829" s="87" t="e">
        <f>data비교작업!S832*100</f>
        <v>#N/A</v>
      </c>
      <c r="K829" s="85" t="e">
        <v>#N/A</v>
      </c>
    </row>
    <row r="830" spans="1:11" ht="18" customHeight="1" x14ac:dyDescent="0.25">
      <c r="A830" s="5">
        <v>19084</v>
      </c>
      <c r="B830" s="79" t="e">
        <f>NA()</f>
        <v>#N/A</v>
      </c>
      <c r="C830" s="80" t="e">
        <v>#N/A</v>
      </c>
      <c r="D830" s="14">
        <f>40</f>
        <v>40</v>
      </c>
      <c r="E830" s="14" t="e">
        <f>NA()</f>
        <v>#N/A</v>
      </c>
      <c r="F830" s="14" t="e">
        <f>NA()</f>
        <v>#N/A</v>
      </c>
      <c r="G830" s="14" t="e">
        <f>NA()</f>
        <v>#N/A</v>
      </c>
      <c r="H830" s="14" t="e">
        <f>NA()</f>
        <v>#N/A</v>
      </c>
      <c r="I830" s="86" t="e">
        <f>NA()</f>
        <v>#N/A</v>
      </c>
      <c r="J830" s="87" t="e">
        <f>data비교작업!S833*100</f>
        <v>#N/A</v>
      </c>
      <c r="K830" s="85" t="e">
        <v>#N/A</v>
      </c>
    </row>
    <row r="831" spans="1:11" ht="18" customHeight="1" x14ac:dyDescent="0.25">
      <c r="A831" s="5">
        <v>19053</v>
      </c>
      <c r="B831" s="79" t="e">
        <f>NA()</f>
        <v>#N/A</v>
      </c>
      <c r="C831" s="80" t="e">
        <v>#N/A</v>
      </c>
      <c r="D831" s="14">
        <f>41.8</f>
        <v>41.8</v>
      </c>
      <c r="E831" s="14" t="e">
        <f>NA()</f>
        <v>#N/A</v>
      </c>
      <c r="F831" s="14" t="e">
        <f>NA()</f>
        <v>#N/A</v>
      </c>
      <c r="G831" s="14" t="e">
        <f>NA()</f>
        <v>#N/A</v>
      </c>
      <c r="H831" s="14" t="e">
        <f>NA()</f>
        <v>#N/A</v>
      </c>
      <c r="I831" s="86" t="e">
        <f>NA()</f>
        <v>#N/A</v>
      </c>
      <c r="J831" s="87" t="e">
        <f>data비교작업!S834*100</f>
        <v>#N/A</v>
      </c>
      <c r="K831" s="85" t="e">
        <v>#N/A</v>
      </c>
    </row>
    <row r="832" spans="1:11" ht="18" customHeight="1" x14ac:dyDescent="0.25">
      <c r="A832" s="5">
        <v>19024</v>
      </c>
      <c r="B832" s="79" t="e">
        <f>NA()</f>
        <v>#N/A</v>
      </c>
      <c r="C832" s="80" t="e">
        <v>#N/A</v>
      </c>
      <c r="D832" s="14">
        <f>44.7</f>
        <v>44.7</v>
      </c>
      <c r="E832" s="14" t="e">
        <f>NA()</f>
        <v>#N/A</v>
      </c>
      <c r="F832" s="14" t="e">
        <f>NA()</f>
        <v>#N/A</v>
      </c>
      <c r="G832" s="14" t="e">
        <f>NA()</f>
        <v>#N/A</v>
      </c>
      <c r="H832" s="14" t="e">
        <f>NA()</f>
        <v>#N/A</v>
      </c>
      <c r="I832" s="86" t="e">
        <f>NA()</f>
        <v>#N/A</v>
      </c>
      <c r="J832" s="87" t="e">
        <f>data비교작업!S835*100</f>
        <v>#N/A</v>
      </c>
      <c r="K832" s="85" t="e">
        <v>#N/A</v>
      </c>
    </row>
    <row r="833" spans="1:11" ht="18" customHeight="1" x14ac:dyDescent="0.25">
      <c r="A833" s="5">
        <v>18993</v>
      </c>
      <c r="B833" s="79" t="e">
        <f>NA()</f>
        <v>#N/A</v>
      </c>
      <c r="C833" s="80" t="e">
        <v>#N/A</v>
      </c>
      <c r="D833" s="14">
        <f>46.5</f>
        <v>46.5</v>
      </c>
      <c r="E833" s="14" t="e">
        <f>NA()</f>
        <v>#N/A</v>
      </c>
      <c r="F833" s="14" t="e">
        <f>NA()</f>
        <v>#N/A</v>
      </c>
      <c r="G833" s="14" t="e">
        <f>NA()</f>
        <v>#N/A</v>
      </c>
      <c r="H833" s="14" t="e">
        <f>NA()</f>
        <v>#N/A</v>
      </c>
      <c r="I833" s="86" t="e">
        <f>NA()</f>
        <v>#N/A</v>
      </c>
      <c r="J833" s="87" t="e">
        <f>data비교작업!S836*100</f>
        <v>#N/A</v>
      </c>
      <c r="K833" s="85" t="e">
        <v>#N/A</v>
      </c>
    </row>
    <row r="834" spans="1:11" ht="18" customHeight="1" x14ac:dyDescent="0.25">
      <c r="A834" s="5">
        <v>18962</v>
      </c>
      <c r="B834" s="79" t="e">
        <f>NA()</f>
        <v>#N/A</v>
      </c>
      <c r="C834" s="80" t="e">
        <v>#N/A</v>
      </c>
      <c r="D834" s="14">
        <f>47.2</f>
        <v>47.2</v>
      </c>
      <c r="E834" s="14" t="e">
        <f>NA()</f>
        <v>#N/A</v>
      </c>
      <c r="F834" s="14" t="e">
        <f>NA()</f>
        <v>#N/A</v>
      </c>
      <c r="G834" s="14" t="e">
        <f>NA()</f>
        <v>#N/A</v>
      </c>
      <c r="H834" s="14" t="e">
        <f>NA()</f>
        <v>#N/A</v>
      </c>
      <c r="I834" s="86" t="e">
        <f>NA()</f>
        <v>#N/A</v>
      </c>
      <c r="J834" s="87" t="e">
        <f>data비교작업!S837*100</f>
        <v>#N/A</v>
      </c>
      <c r="K834" s="85" t="e">
        <v>#N/A</v>
      </c>
    </row>
    <row r="835" spans="1:11" ht="18" customHeight="1" x14ac:dyDescent="0.25">
      <c r="A835" s="5">
        <v>18932</v>
      </c>
      <c r="B835" s="79" t="e">
        <f>NA()</f>
        <v>#N/A</v>
      </c>
      <c r="C835" s="80" t="e">
        <v>#N/A</v>
      </c>
      <c r="D835" s="14">
        <f>49.6</f>
        <v>49.6</v>
      </c>
      <c r="E835" s="14" t="e">
        <f>NA()</f>
        <v>#N/A</v>
      </c>
      <c r="F835" s="14" t="e">
        <f>NA()</f>
        <v>#N/A</v>
      </c>
      <c r="G835" s="14" t="e">
        <f>NA()</f>
        <v>#N/A</v>
      </c>
      <c r="H835" s="14" t="e">
        <f>NA()</f>
        <v>#N/A</v>
      </c>
      <c r="I835" s="86" t="e">
        <f>NA()</f>
        <v>#N/A</v>
      </c>
      <c r="J835" s="87" t="e">
        <f>data비교작업!S838*100</f>
        <v>#N/A</v>
      </c>
      <c r="K835" s="85" t="e">
        <v>#N/A</v>
      </c>
    </row>
    <row r="836" spans="1:11" ht="18" customHeight="1" x14ac:dyDescent="0.25">
      <c r="A836" s="5">
        <v>18901</v>
      </c>
      <c r="B836" s="79" t="e">
        <f>NA()</f>
        <v>#N/A</v>
      </c>
      <c r="C836" s="80" t="e">
        <v>#N/A</v>
      </c>
      <c r="D836" s="14">
        <f>48.1</f>
        <v>48.1</v>
      </c>
      <c r="E836" s="14" t="e">
        <f>NA()</f>
        <v>#N/A</v>
      </c>
      <c r="F836" s="14" t="e">
        <f>NA()</f>
        <v>#N/A</v>
      </c>
      <c r="G836" s="14" t="e">
        <f>NA()</f>
        <v>#N/A</v>
      </c>
      <c r="H836" s="14" t="e">
        <f>NA()</f>
        <v>#N/A</v>
      </c>
      <c r="I836" s="86" t="e">
        <f>NA()</f>
        <v>#N/A</v>
      </c>
      <c r="J836" s="87" t="e">
        <f>data비교작업!S839*100</f>
        <v>#N/A</v>
      </c>
      <c r="K836" s="85" t="e">
        <v>#N/A</v>
      </c>
    </row>
    <row r="837" spans="1:11" ht="18" customHeight="1" x14ac:dyDescent="0.25">
      <c r="A837" s="5">
        <v>18871</v>
      </c>
      <c r="B837" s="79" t="e">
        <f>NA()</f>
        <v>#N/A</v>
      </c>
      <c r="C837" s="80" t="e">
        <v>#N/A</v>
      </c>
      <c r="D837" s="14">
        <f>43.6</f>
        <v>43.6</v>
      </c>
      <c r="E837" s="14" t="e">
        <f>NA()</f>
        <v>#N/A</v>
      </c>
      <c r="F837" s="14" t="e">
        <f>NA()</f>
        <v>#N/A</v>
      </c>
      <c r="G837" s="14" t="e">
        <f>NA()</f>
        <v>#N/A</v>
      </c>
      <c r="H837" s="14" t="e">
        <f>NA()</f>
        <v>#N/A</v>
      </c>
      <c r="I837" s="86" t="e">
        <f>NA()</f>
        <v>#N/A</v>
      </c>
      <c r="J837" s="87" t="e">
        <f>data비교작업!S840*100</f>
        <v>#N/A</v>
      </c>
      <c r="K837" s="85" t="e">
        <v>#N/A</v>
      </c>
    </row>
    <row r="838" spans="1:11" ht="18" customHeight="1" x14ac:dyDescent="0.25">
      <c r="A838" s="5">
        <v>18840</v>
      </c>
      <c r="B838" s="79" t="e">
        <f>NA()</f>
        <v>#N/A</v>
      </c>
      <c r="C838" s="80" t="e">
        <v>#N/A</v>
      </c>
      <c r="D838" s="14">
        <f>42.1</f>
        <v>42.1</v>
      </c>
      <c r="E838" s="14" t="e">
        <f>NA()</f>
        <v>#N/A</v>
      </c>
      <c r="F838" s="14" t="e">
        <f>NA()</f>
        <v>#N/A</v>
      </c>
      <c r="G838" s="14" t="e">
        <f>NA()</f>
        <v>#N/A</v>
      </c>
      <c r="H838" s="14" t="e">
        <f>NA()</f>
        <v>#N/A</v>
      </c>
      <c r="I838" s="86" t="e">
        <f>NA()</f>
        <v>#N/A</v>
      </c>
      <c r="J838" s="87" t="e">
        <f>data비교작업!S841*100</f>
        <v>#N/A</v>
      </c>
      <c r="K838" s="85" t="e">
        <v>#N/A</v>
      </c>
    </row>
    <row r="839" spans="1:11" ht="18" customHeight="1" x14ac:dyDescent="0.25">
      <c r="A839" s="5">
        <v>18809</v>
      </c>
      <c r="B839" s="79" t="e">
        <f>NA()</f>
        <v>#N/A</v>
      </c>
      <c r="C839" s="80" t="e">
        <v>#N/A</v>
      </c>
      <c r="D839" s="14">
        <f>45.5</f>
        <v>45.5</v>
      </c>
      <c r="E839" s="14" t="e">
        <f>NA()</f>
        <v>#N/A</v>
      </c>
      <c r="F839" s="14" t="e">
        <f>NA()</f>
        <v>#N/A</v>
      </c>
      <c r="G839" s="14" t="e">
        <f>NA()</f>
        <v>#N/A</v>
      </c>
      <c r="H839" s="14" t="e">
        <f>NA()</f>
        <v>#N/A</v>
      </c>
      <c r="I839" s="86" t="e">
        <f>NA()</f>
        <v>#N/A</v>
      </c>
      <c r="J839" s="87" t="e">
        <f>data비교작업!S842*100</f>
        <v>#N/A</v>
      </c>
      <c r="K839" s="85" t="e">
        <v>#N/A</v>
      </c>
    </row>
    <row r="840" spans="1:11" ht="18" customHeight="1" x14ac:dyDescent="0.25">
      <c r="A840" s="5">
        <v>18779</v>
      </c>
      <c r="B840" s="79" t="e">
        <f>NA()</f>
        <v>#N/A</v>
      </c>
      <c r="C840" s="80" t="e">
        <v>#N/A</v>
      </c>
      <c r="D840" s="14">
        <f>50.7</f>
        <v>50.7</v>
      </c>
      <c r="E840" s="14" t="e">
        <f>NA()</f>
        <v>#N/A</v>
      </c>
      <c r="F840" s="14" t="e">
        <f>NA()</f>
        <v>#N/A</v>
      </c>
      <c r="G840" s="14" t="e">
        <f>NA()</f>
        <v>#N/A</v>
      </c>
      <c r="H840" s="14" t="e">
        <f>NA()</f>
        <v>#N/A</v>
      </c>
      <c r="I840" s="86" t="e">
        <f>NA()</f>
        <v>#N/A</v>
      </c>
      <c r="J840" s="87" t="e">
        <f>data비교작업!S843*100</f>
        <v>#N/A</v>
      </c>
      <c r="K840" s="85" t="e">
        <v>#N/A</v>
      </c>
    </row>
    <row r="841" spans="1:11" ht="18" customHeight="1" x14ac:dyDescent="0.25">
      <c r="A841" s="5">
        <v>18748</v>
      </c>
      <c r="B841" s="79" t="e">
        <f>NA()</f>
        <v>#N/A</v>
      </c>
      <c r="C841" s="80" t="e">
        <v>#N/A</v>
      </c>
      <c r="D841" s="14">
        <f>53.5</f>
        <v>53.5</v>
      </c>
      <c r="E841" s="14" t="e">
        <f>NA()</f>
        <v>#N/A</v>
      </c>
      <c r="F841" s="14" t="e">
        <f>NA()</f>
        <v>#N/A</v>
      </c>
      <c r="G841" s="14" t="e">
        <f>NA()</f>
        <v>#N/A</v>
      </c>
      <c r="H841" s="14" t="e">
        <f>NA()</f>
        <v>#N/A</v>
      </c>
      <c r="I841" s="86" t="e">
        <f>NA()</f>
        <v>#N/A</v>
      </c>
      <c r="J841" s="87" t="e">
        <f>data비교작업!S844*100</f>
        <v>#N/A</v>
      </c>
      <c r="K841" s="85" t="e">
        <v>#N/A</v>
      </c>
    </row>
    <row r="842" spans="1:11" ht="18" customHeight="1" x14ac:dyDescent="0.25">
      <c r="A842" s="5">
        <v>18718</v>
      </c>
      <c r="B842" s="79" t="e">
        <f>NA()</f>
        <v>#N/A</v>
      </c>
      <c r="C842" s="80" t="e">
        <v>#N/A</v>
      </c>
      <c r="D842" s="14">
        <f>65.5</f>
        <v>65.5</v>
      </c>
      <c r="E842" s="14" t="e">
        <f>NA()</f>
        <v>#N/A</v>
      </c>
      <c r="F842" s="14" t="e">
        <f>NA()</f>
        <v>#N/A</v>
      </c>
      <c r="G842" s="14" t="e">
        <f>NA()</f>
        <v>#N/A</v>
      </c>
      <c r="H842" s="14" t="e">
        <f>NA()</f>
        <v>#N/A</v>
      </c>
      <c r="I842" s="86" t="e">
        <f>NA()</f>
        <v>#N/A</v>
      </c>
      <c r="J842" s="87" t="e">
        <f>data비교작업!S845*100</f>
        <v>#N/A</v>
      </c>
      <c r="K842" s="85" t="e">
        <v>#N/A</v>
      </c>
    </row>
    <row r="843" spans="1:11" ht="18" customHeight="1" x14ac:dyDescent="0.25">
      <c r="A843" s="5">
        <v>18687</v>
      </c>
      <c r="B843" s="79" t="e">
        <f>NA()</f>
        <v>#N/A</v>
      </c>
      <c r="C843" s="80" t="e">
        <v>#N/A</v>
      </c>
      <c r="D843" s="14">
        <f>69.3</f>
        <v>69.3</v>
      </c>
      <c r="E843" s="14" t="e">
        <f>NA()</f>
        <v>#N/A</v>
      </c>
      <c r="F843" s="14" t="e">
        <f>NA()</f>
        <v>#N/A</v>
      </c>
      <c r="G843" s="14" t="e">
        <f>NA()</f>
        <v>#N/A</v>
      </c>
      <c r="H843" s="14" t="e">
        <f>NA()</f>
        <v>#N/A</v>
      </c>
      <c r="I843" s="86" t="e">
        <f>NA()</f>
        <v>#N/A</v>
      </c>
      <c r="J843" s="87" t="e">
        <f>data비교작업!S846*100</f>
        <v>#N/A</v>
      </c>
      <c r="K843" s="85" t="e">
        <v>#N/A</v>
      </c>
    </row>
    <row r="844" spans="1:11" ht="18" customHeight="1" x14ac:dyDescent="0.25">
      <c r="A844" s="5">
        <v>18659</v>
      </c>
      <c r="B844" s="79" t="e">
        <f>NA()</f>
        <v>#N/A</v>
      </c>
      <c r="C844" s="80" t="e">
        <v>#N/A</v>
      </c>
      <c r="D844" s="14">
        <f>67.8</f>
        <v>67.8</v>
      </c>
      <c r="E844" s="14" t="e">
        <f>NA()</f>
        <v>#N/A</v>
      </c>
      <c r="F844" s="14" t="e">
        <f>NA()</f>
        <v>#N/A</v>
      </c>
      <c r="G844" s="14" t="e">
        <f>NA()</f>
        <v>#N/A</v>
      </c>
      <c r="H844" s="14" t="e">
        <f>NA()</f>
        <v>#N/A</v>
      </c>
      <c r="I844" s="86" t="e">
        <f>NA()</f>
        <v>#N/A</v>
      </c>
      <c r="J844" s="87" t="e">
        <f>data비교작업!S847*100</f>
        <v>#N/A</v>
      </c>
      <c r="K844" s="85" t="e">
        <v>#N/A</v>
      </c>
    </row>
    <row r="845" spans="1:11" ht="18" customHeight="1" x14ac:dyDescent="0.25">
      <c r="A845" s="5">
        <v>18628</v>
      </c>
      <c r="B845" s="79" t="e">
        <f>NA()</f>
        <v>#N/A</v>
      </c>
      <c r="C845" s="80" t="e">
        <v>#N/A</v>
      </c>
      <c r="D845" s="14">
        <f>67.1</f>
        <v>67.099999999999994</v>
      </c>
      <c r="E845" s="14" t="e">
        <f>NA()</f>
        <v>#N/A</v>
      </c>
      <c r="F845" s="14" t="e">
        <f>NA()</f>
        <v>#N/A</v>
      </c>
      <c r="G845" s="14" t="e">
        <f>NA()</f>
        <v>#N/A</v>
      </c>
      <c r="H845" s="14" t="e">
        <f>NA()</f>
        <v>#N/A</v>
      </c>
      <c r="I845" s="86" t="e">
        <f>NA()</f>
        <v>#N/A</v>
      </c>
      <c r="J845" s="87" t="e">
        <f>data비교작업!S848*100</f>
        <v>#N/A</v>
      </c>
      <c r="K845" s="85" t="e">
        <v>#N/A</v>
      </c>
    </row>
    <row r="846" spans="1:11" ht="18" customHeight="1" x14ac:dyDescent="0.25">
      <c r="A846" s="5">
        <v>18597</v>
      </c>
      <c r="B846" s="79" t="e">
        <f>NA()</f>
        <v>#N/A</v>
      </c>
      <c r="C846" s="80" t="e">
        <v>#N/A</v>
      </c>
      <c r="D846" s="14">
        <f>63.1</f>
        <v>63.1</v>
      </c>
      <c r="E846" s="14" t="e">
        <f>NA()</f>
        <v>#N/A</v>
      </c>
      <c r="F846" s="14" t="e">
        <f>NA()</f>
        <v>#N/A</v>
      </c>
      <c r="G846" s="14" t="e">
        <f>NA()</f>
        <v>#N/A</v>
      </c>
      <c r="H846" s="14" t="e">
        <f>NA()</f>
        <v>#N/A</v>
      </c>
      <c r="I846" s="86" t="e">
        <f>NA()</f>
        <v>#N/A</v>
      </c>
      <c r="J846" s="87" t="e">
        <f>data비교작업!S849*100</f>
        <v>#N/A</v>
      </c>
      <c r="K846" s="85" t="e">
        <v>#N/A</v>
      </c>
    </row>
    <row r="847" spans="1:11" ht="18" customHeight="1" x14ac:dyDescent="0.25">
      <c r="A847" s="5">
        <v>18567</v>
      </c>
      <c r="B847" s="79" t="e">
        <f>NA()</f>
        <v>#N/A</v>
      </c>
      <c r="C847" s="80" t="e">
        <v>#N/A</v>
      </c>
      <c r="D847" s="14">
        <f>59.2</f>
        <v>59.2</v>
      </c>
      <c r="E847" s="14" t="e">
        <f>NA()</f>
        <v>#N/A</v>
      </c>
      <c r="F847" s="14" t="e">
        <f>NA()</f>
        <v>#N/A</v>
      </c>
      <c r="G847" s="14" t="e">
        <f>NA()</f>
        <v>#N/A</v>
      </c>
      <c r="H847" s="14" t="e">
        <f>NA()</f>
        <v>#N/A</v>
      </c>
      <c r="I847" s="86" t="e">
        <f>NA()</f>
        <v>#N/A</v>
      </c>
      <c r="J847" s="87" t="e">
        <f>data비교작업!S850*100</f>
        <v>#N/A</v>
      </c>
      <c r="K847" s="85" t="e">
        <v>#N/A</v>
      </c>
    </row>
    <row r="848" spans="1:11" ht="18" customHeight="1" x14ac:dyDescent="0.25">
      <c r="A848" s="5">
        <v>18536</v>
      </c>
      <c r="B848" s="79" t="e">
        <f>NA()</f>
        <v>#N/A</v>
      </c>
      <c r="C848" s="80" t="e">
        <v>#N/A</v>
      </c>
      <c r="D848" s="14">
        <f>68.1</f>
        <v>68.099999999999994</v>
      </c>
      <c r="E848" s="14" t="e">
        <f>NA()</f>
        <v>#N/A</v>
      </c>
      <c r="F848" s="14" t="e">
        <f>NA()</f>
        <v>#N/A</v>
      </c>
      <c r="G848" s="14" t="e">
        <f>NA()</f>
        <v>#N/A</v>
      </c>
      <c r="H848" s="14" t="e">
        <f>NA()</f>
        <v>#N/A</v>
      </c>
      <c r="I848" s="86" t="e">
        <f>NA()</f>
        <v>#N/A</v>
      </c>
      <c r="J848" s="87" t="e">
        <f>data비교작업!S851*100</f>
        <v>#N/A</v>
      </c>
      <c r="K848" s="85" t="e">
        <v>#N/A</v>
      </c>
    </row>
    <row r="849" spans="1:11" ht="18" customHeight="1" x14ac:dyDescent="0.25">
      <c r="A849" s="5">
        <v>18506</v>
      </c>
      <c r="B849" s="79" t="e">
        <f>NA()</f>
        <v>#N/A</v>
      </c>
      <c r="C849" s="80" t="e">
        <v>#N/A</v>
      </c>
      <c r="D849" s="14">
        <f>75.8</f>
        <v>75.8</v>
      </c>
      <c r="E849" s="14" t="e">
        <f>NA()</f>
        <v>#N/A</v>
      </c>
      <c r="F849" s="14" t="e">
        <f>NA()</f>
        <v>#N/A</v>
      </c>
      <c r="G849" s="14" t="e">
        <f>NA()</f>
        <v>#N/A</v>
      </c>
      <c r="H849" s="14" t="e">
        <f>NA()</f>
        <v>#N/A</v>
      </c>
      <c r="I849" s="86" t="e">
        <f>NA()</f>
        <v>#N/A</v>
      </c>
      <c r="J849" s="87" t="e">
        <f>data비교작업!S852*100</f>
        <v>#N/A</v>
      </c>
      <c r="K849" s="85" t="e">
        <v>#N/A</v>
      </c>
    </row>
    <row r="850" spans="1:11" ht="18" customHeight="1" x14ac:dyDescent="0.25">
      <c r="A850" s="5">
        <v>18475</v>
      </c>
      <c r="B850" s="79" t="e">
        <f>NA()</f>
        <v>#N/A</v>
      </c>
      <c r="C850" s="80" t="e">
        <v>#N/A</v>
      </c>
      <c r="D850" s="14">
        <f>77.5</f>
        <v>77.5</v>
      </c>
      <c r="E850" s="14" t="e">
        <f>NA()</f>
        <v>#N/A</v>
      </c>
      <c r="F850" s="14" t="e">
        <f>NA()</f>
        <v>#N/A</v>
      </c>
      <c r="G850" s="14" t="e">
        <f>NA()</f>
        <v>#N/A</v>
      </c>
      <c r="H850" s="14" t="e">
        <f>NA()</f>
        <v>#N/A</v>
      </c>
      <c r="I850" s="86" t="e">
        <f>NA()</f>
        <v>#N/A</v>
      </c>
      <c r="J850" s="87" t="e">
        <f>data비교작업!S853*100</f>
        <v>#N/A</v>
      </c>
      <c r="K850" s="85" t="e">
        <v>#N/A</v>
      </c>
    </row>
    <row r="851" spans="1:11" ht="18" customHeight="1" x14ac:dyDescent="0.25">
      <c r="A851" s="5">
        <v>18444</v>
      </c>
      <c r="B851" s="79" t="e">
        <f>NA()</f>
        <v>#N/A</v>
      </c>
      <c r="C851" s="80" t="e">
        <v>#N/A</v>
      </c>
      <c r="D851" s="14">
        <f>76.6</f>
        <v>76.599999999999994</v>
      </c>
      <c r="E851" s="14" t="e">
        <f>NA()</f>
        <v>#N/A</v>
      </c>
      <c r="F851" s="14" t="e">
        <f>NA()</f>
        <v>#N/A</v>
      </c>
      <c r="G851" s="14" t="e">
        <f>NA()</f>
        <v>#N/A</v>
      </c>
      <c r="H851" s="14" t="e">
        <f>NA()</f>
        <v>#N/A</v>
      </c>
      <c r="I851" s="86" t="e">
        <f>NA()</f>
        <v>#N/A</v>
      </c>
      <c r="J851" s="87" t="e">
        <f>data비교작업!S854*100</f>
        <v>#N/A</v>
      </c>
      <c r="K851" s="85" t="e">
        <v>#N/A</v>
      </c>
    </row>
    <row r="852" spans="1:11" ht="18" customHeight="1" x14ac:dyDescent="0.25">
      <c r="A852" s="5">
        <v>18414</v>
      </c>
      <c r="B852" s="79" t="e">
        <f>NA()</f>
        <v>#N/A</v>
      </c>
      <c r="C852" s="80" t="e">
        <v>#N/A</v>
      </c>
      <c r="D852" s="14">
        <f>74.7</f>
        <v>74.7</v>
      </c>
      <c r="E852" s="14" t="e">
        <f>NA()</f>
        <v>#N/A</v>
      </c>
      <c r="F852" s="14" t="e">
        <f>NA()</f>
        <v>#N/A</v>
      </c>
      <c r="G852" s="14" t="e">
        <f>NA()</f>
        <v>#N/A</v>
      </c>
      <c r="H852" s="14" t="e">
        <f>NA()</f>
        <v>#N/A</v>
      </c>
      <c r="I852" s="86" t="e">
        <f>NA()</f>
        <v>#N/A</v>
      </c>
      <c r="J852" s="87" t="e">
        <f>data비교작업!S855*100</f>
        <v>#N/A</v>
      </c>
      <c r="K852" s="85" t="e">
        <v>#N/A</v>
      </c>
    </row>
    <row r="853" spans="1:11" ht="18" customHeight="1" x14ac:dyDescent="0.25">
      <c r="A853" s="5">
        <v>18383</v>
      </c>
      <c r="B853" s="79" t="e">
        <f>NA()</f>
        <v>#N/A</v>
      </c>
      <c r="C853" s="80" t="e">
        <v>#N/A</v>
      </c>
      <c r="D853" s="14">
        <f>68.1</f>
        <v>68.099999999999994</v>
      </c>
      <c r="E853" s="14" t="e">
        <f>NA()</f>
        <v>#N/A</v>
      </c>
      <c r="F853" s="14" t="e">
        <f>NA()</f>
        <v>#N/A</v>
      </c>
      <c r="G853" s="14" t="e">
        <f>NA()</f>
        <v>#N/A</v>
      </c>
      <c r="H853" s="14" t="e">
        <f>NA()</f>
        <v>#N/A</v>
      </c>
      <c r="I853" s="86" t="e">
        <f>NA()</f>
        <v>#N/A</v>
      </c>
      <c r="J853" s="87" t="e">
        <f>data비교작업!S856*100</f>
        <v>#N/A</v>
      </c>
      <c r="K853" s="85" t="e">
        <v>#N/A</v>
      </c>
    </row>
    <row r="854" spans="1:11" ht="18" customHeight="1" x14ac:dyDescent="0.25">
      <c r="A854" s="5">
        <v>18353</v>
      </c>
      <c r="B854" s="79" t="e">
        <f>NA()</f>
        <v>#N/A</v>
      </c>
      <c r="C854" s="80" t="e">
        <v>#N/A</v>
      </c>
      <c r="D854" s="14">
        <f>62.1</f>
        <v>62.1</v>
      </c>
      <c r="E854" s="14" t="e">
        <f>NA()</f>
        <v>#N/A</v>
      </c>
      <c r="F854" s="14" t="e">
        <f>NA()</f>
        <v>#N/A</v>
      </c>
      <c r="G854" s="14" t="e">
        <f>NA()</f>
        <v>#N/A</v>
      </c>
      <c r="H854" s="14" t="e">
        <f>NA()</f>
        <v>#N/A</v>
      </c>
      <c r="I854" s="86" t="e">
        <f>NA()</f>
        <v>#N/A</v>
      </c>
      <c r="J854" s="87" t="e">
        <f>data비교작업!S857*100</f>
        <v>#N/A</v>
      </c>
      <c r="K854" s="85" t="e">
        <v>#N/A</v>
      </c>
    </row>
    <row r="855" spans="1:11" ht="18" customHeight="1" x14ac:dyDescent="0.25">
      <c r="A855" s="5">
        <v>18322</v>
      </c>
      <c r="B855" s="79" t="e">
        <f>NA()</f>
        <v>#N/A</v>
      </c>
      <c r="C855" s="80" t="e">
        <v>#N/A</v>
      </c>
      <c r="D855" s="14">
        <f>60.5</f>
        <v>60.5</v>
      </c>
      <c r="E855" s="14" t="e">
        <f>NA()</f>
        <v>#N/A</v>
      </c>
      <c r="F855" s="14" t="e">
        <f>NA()</f>
        <v>#N/A</v>
      </c>
      <c r="G855" s="14" t="e">
        <f>NA()</f>
        <v>#N/A</v>
      </c>
      <c r="H855" s="14" t="e">
        <f>NA()</f>
        <v>#N/A</v>
      </c>
      <c r="I855" s="86" t="e">
        <f>NA()</f>
        <v>#N/A</v>
      </c>
      <c r="J855" s="87" t="e">
        <f>data비교작업!S858*100</f>
        <v>#N/A</v>
      </c>
      <c r="K855" s="85" t="e">
        <v>#N/A</v>
      </c>
    </row>
    <row r="856" spans="1:11" ht="18" customHeight="1" x14ac:dyDescent="0.25">
      <c r="A856" s="5">
        <v>18294</v>
      </c>
      <c r="B856" s="79" t="e">
        <f>NA()</f>
        <v>#N/A</v>
      </c>
      <c r="C856" s="80" t="e">
        <v>#N/A</v>
      </c>
      <c r="D856" s="14">
        <f>59.1</f>
        <v>59.1</v>
      </c>
      <c r="E856" s="14" t="e">
        <f>NA()</f>
        <v>#N/A</v>
      </c>
      <c r="F856" s="14" t="e">
        <f>NA()</f>
        <v>#N/A</v>
      </c>
      <c r="G856" s="14" t="e">
        <f>NA()</f>
        <v>#N/A</v>
      </c>
      <c r="H856" s="14" t="e">
        <f>NA()</f>
        <v>#N/A</v>
      </c>
      <c r="I856" s="86" t="e">
        <f>NA()</f>
        <v>#N/A</v>
      </c>
      <c r="J856" s="87" t="e">
        <f>data비교작업!S859*100</f>
        <v>#N/A</v>
      </c>
      <c r="K856" s="85" t="e">
        <v>#N/A</v>
      </c>
    </row>
    <row r="857" spans="1:11" ht="18" customHeight="1" x14ac:dyDescent="0.25">
      <c r="A857" s="5">
        <v>18263</v>
      </c>
      <c r="B857" s="79" t="e">
        <f>NA()</f>
        <v>#N/A</v>
      </c>
      <c r="C857" s="80" t="e">
        <v>#N/A</v>
      </c>
      <c r="D857" s="14">
        <f>57.3</f>
        <v>57.3</v>
      </c>
      <c r="E857" s="14" t="e">
        <f>NA()</f>
        <v>#N/A</v>
      </c>
      <c r="F857" s="14" t="e">
        <f>NA()</f>
        <v>#N/A</v>
      </c>
      <c r="G857" s="14" t="e">
        <f>NA()</f>
        <v>#N/A</v>
      </c>
      <c r="H857" s="14" t="e">
        <f>NA()</f>
        <v>#N/A</v>
      </c>
      <c r="I857" s="86" t="e">
        <f>NA()</f>
        <v>#N/A</v>
      </c>
      <c r="J857" s="87" t="e">
        <f>data비교작업!S860*100</f>
        <v>#N/A</v>
      </c>
      <c r="K857" s="85" t="e">
        <v>#N/A</v>
      </c>
    </row>
    <row r="858" spans="1:11" ht="18" customHeight="1" x14ac:dyDescent="0.25">
      <c r="A858" s="5">
        <v>18232</v>
      </c>
      <c r="B858" s="79" t="e">
        <f>NA()</f>
        <v>#N/A</v>
      </c>
      <c r="C858" s="80" t="e">
        <v>#N/A</v>
      </c>
      <c r="D858" s="14">
        <f>51</f>
        <v>51</v>
      </c>
      <c r="E858" s="14" t="e">
        <f>NA()</f>
        <v>#N/A</v>
      </c>
      <c r="F858" s="14" t="e">
        <f>NA()</f>
        <v>#N/A</v>
      </c>
      <c r="G858" s="14" t="e">
        <f>NA()</f>
        <v>#N/A</v>
      </c>
      <c r="H858" s="14" t="e">
        <f>NA()</f>
        <v>#N/A</v>
      </c>
      <c r="I858" s="86" t="e">
        <f>NA()</f>
        <v>#N/A</v>
      </c>
      <c r="J858" s="87" t="e">
        <f>data비교작업!S861*100</f>
        <v>#N/A</v>
      </c>
      <c r="K858" s="85" t="e">
        <v>#N/A</v>
      </c>
    </row>
    <row r="859" spans="1:11" ht="18" customHeight="1" x14ac:dyDescent="0.25">
      <c r="A859" s="5">
        <v>18202</v>
      </c>
      <c r="B859" s="79" t="e">
        <f>NA()</f>
        <v>#N/A</v>
      </c>
      <c r="C859" s="80" t="e">
        <v>#N/A</v>
      </c>
      <c r="D859" s="14">
        <f>51</f>
        <v>51</v>
      </c>
      <c r="E859" s="14" t="e">
        <f>NA()</f>
        <v>#N/A</v>
      </c>
      <c r="F859" s="14" t="e">
        <f>NA()</f>
        <v>#N/A</v>
      </c>
      <c r="G859" s="14" t="e">
        <f>NA()</f>
        <v>#N/A</v>
      </c>
      <c r="H859" s="14" t="e">
        <f>NA()</f>
        <v>#N/A</v>
      </c>
      <c r="I859" s="86" t="e">
        <f>NA()</f>
        <v>#N/A</v>
      </c>
      <c r="J859" s="87" t="e">
        <f>data비교작업!S862*100</f>
        <v>#N/A</v>
      </c>
      <c r="K859" s="85" t="e">
        <v>#N/A</v>
      </c>
    </row>
    <row r="860" spans="1:11" ht="18" customHeight="1" x14ac:dyDescent="0.25">
      <c r="A860" s="5">
        <v>18171</v>
      </c>
      <c r="B860" s="79" t="e">
        <f>NA()</f>
        <v>#N/A</v>
      </c>
      <c r="C860" s="80" t="e">
        <v>#N/A</v>
      </c>
      <c r="D860" s="14">
        <f>52.3</f>
        <v>52.3</v>
      </c>
      <c r="E860" s="14" t="e">
        <f>NA()</f>
        <v>#N/A</v>
      </c>
      <c r="F860" s="14" t="e">
        <f>NA()</f>
        <v>#N/A</v>
      </c>
      <c r="G860" s="14" t="e">
        <f>NA()</f>
        <v>#N/A</v>
      </c>
      <c r="H860" s="14" t="e">
        <f>NA()</f>
        <v>#N/A</v>
      </c>
      <c r="I860" s="86" t="e">
        <f>NA()</f>
        <v>#N/A</v>
      </c>
      <c r="J860" s="87" t="e">
        <f>data비교작업!S863*100</f>
        <v>#N/A</v>
      </c>
      <c r="K860" s="85" t="e">
        <v>#N/A</v>
      </c>
    </row>
    <row r="861" spans="1:11" ht="18" customHeight="1" x14ac:dyDescent="0.25">
      <c r="A861" s="5">
        <v>18141</v>
      </c>
      <c r="B861" s="79" t="e">
        <f>NA()</f>
        <v>#N/A</v>
      </c>
      <c r="C861" s="80" t="e">
        <v>#N/A</v>
      </c>
      <c r="D861" s="14">
        <f>47</f>
        <v>47</v>
      </c>
      <c r="E861" s="14" t="e">
        <f>NA()</f>
        <v>#N/A</v>
      </c>
      <c r="F861" s="14" t="e">
        <f>NA()</f>
        <v>#N/A</v>
      </c>
      <c r="G861" s="14" t="e">
        <f>NA()</f>
        <v>#N/A</v>
      </c>
      <c r="H861" s="14" t="e">
        <f>NA()</f>
        <v>#N/A</v>
      </c>
      <c r="I861" s="86" t="e">
        <f>NA()</f>
        <v>#N/A</v>
      </c>
      <c r="J861" s="87" t="e">
        <f>data비교작업!S864*100</f>
        <v>#N/A</v>
      </c>
      <c r="K861" s="85" t="e">
        <v>#N/A</v>
      </c>
    </row>
    <row r="862" spans="1:11" ht="18" customHeight="1" x14ac:dyDescent="0.25">
      <c r="A862" s="5">
        <v>18110</v>
      </c>
      <c r="B862" s="79" t="e">
        <f>NA()</f>
        <v>#N/A</v>
      </c>
      <c r="C862" s="80" t="e">
        <v>#N/A</v>
      </c>
      <c r="D862" s="14">
        <f>39</f>
        <v>39</v>
      </c>
      <c r="E862" s="14" t="e">
        <f>NA()</f>
        <v>#N/A</v>
      </c>
      <c r="F862" s="14" t="e">
        <f>NA()</f>
        <v>#N/A</v>
      </c>
      <c r="G862" s="14" t="e">
        <f>NA()</f>
        <v>#N/A</v>
      </c>
      <c r="H862" s="14" t="e">
        <f>NA()</f>
        <v>#N/A</v>
      </c>
      <c r="I862" s="86" t="e">
        <f>NA()</f>
        <v>#N/A</v>
      </c>
      <c r="J862" s="87" t="e">
        <f>data비교작업!S865*100</f>
        <v>#N/A</v>
      </c>
      <c r="K862" s="85" t="e">
        <v>#N/A</v>
      </c>
    </row>
    <row r="863" spans="1:11" ht="18" customHeight="1" x14ac:dyDescent="0.25">
      <c r="A863" s="5">
        <v>18079</v>
      </c>
      <c r="B863" s="79" t="e">
        <f>NA()</f>
        <v>#N/A</v>
      </c>
      <c r="C863" s="80" t="e">
        <v>#N/A</v>
      </c>
      <c r="D863" s="14">
        <f>31.6</f>
        <v>31.6</v>
      </c>
      <c r="E863" s="14" t="e">
        <f>NA()</f>
        <v>#N/A</v>
      </c>
      <c r="F863" s="14" t="e">
        <f>NA()</f>
        <v>#N/A</v>
      </c>
      <c r="G863" s="14" t="e">
        <f>NA()</f>
        <v>#N/A</v>
      </c>
      <c r="H863" s="14" t="e">
        <f>NA()</f>
        <v>#N/A</v>
      </c>
      <c r="I863" s="86" t="e">
        <f>NA()</f>
        <v>#N/A</v>
      </c>
      <c r="J863" s="87" t="e">
        <f>data비교작업!S866*100</f>
        <v>#N/A</v>
      </c>
      <c r="K863" s="85" t="e">
        <v>#N/A</v>
      </c>
    </row>
    <row r="864" spans="1:11" ht="18" customHeight="1" x14ac:dyDescent="0.25">
      <c r="A864" s="5">
        <v>18049</v>
      </c>
      <c r="B864" s="79" t="e">
        <f>NA()</f>
        <v>#N/A</v>
      </c>
      <c r="C864" s="80" t="e">
        <v>#N/A</v>
      </c>
      <c r="D864" s="14">
        <f>32.6</f>
        <v>32.6</v>
      </c>
      <c r="E864" s="14" t="e">
        <f>NA()</f>
        <v>#N/A</v>
      </c>
      <c r="F864" s="14" t="e">
        <f>NA()</f>
        <v>#N/A</v>
      </c>
      <c r="G864" s="14" t="e">
        <f>NA()</f>
        <v>#N/A</v>
      </c>
      <c r="H864" s="14" t="e">
        <f>NA()</f>
        <v>#N/A</v>
      </c>
      <c r="I864" s="86" t="e">
        <f>NA()</f>
        <v>#N/A</v>
      </c>
      <c r="J864" s="87" t="e">
        <f>data비교작업!S867*100</f>
        <v>#N/A</v>
      </c>
      <c r="K864" s="85" t="e">
        <v>#N/A</v>
      </c>
    </row>
    <row r="865" spans="1:11" ht="18" customHeight="1" x14ac:dyDescent="0.25">
      <c r="A865" s="5">
        <v>18018</v>
      </c>
      <c r="B865" s="79" t="e">
        <f>NA()</f>
        <v>#N/A</v>
      </c>
      <c r="C865" s="80" t="e">
        <v>#N/A</v>
      </c>
      <c r="D865" s="14">
        <f>35.5</f>
        <v>35.5</v>
      </c>
      <c r="E865" s="14" t="e">
        <f>NA()</f>
        <v>#N/A</v>
      </c>
      <c r="F865" s="14" t="e">
        <f>NA()</f>
        <v>#N/A</v>
      </c>
      <c r="G865" s="14" t="e">
        <f>NA()</f>
        <v>#N/A</v>
      </c>
      <c r="H865" s="14" t="e">
        <f>NA()</f>
        <v>#N/A</v>
      </c>
      <c r="I865" s="86" t="e">
        <f>NA()</f>
        <v>#N/A</v>
      </c>
      <c r="J865" s="87" t="e">
        <f>data비교작업!S868*100</f>
        <v>#N/A</v>
      </c>
      <c r="K865" s="85" t="e">
        <v>#N/A</v>
      </c>
    </row>
    <row r="866" spans="1:11" ht="18" customHeight="1" x14ac:dyDescent="0.25">
      <c r="A866" s="5">
        <v>17988</v>
      </c>
      <c r="B866" s="79" t="e">
        <f>NA()</f>
        <v>#N/A</v>
      </c>
      <c r="C866" s="80" t="e">
        <v>#N/A</v>
      </c>
      <c r="D866" s="14">
        <f>34.5</f>
        <v>34.5</v>
      </c>
      <c r="E866" s="14" t="e">
        <f>NA()</f>
        <v>#N/A</v>
      </c>
      <c r="F866" s="14" t="e">
        <f>NA()</f>
        <v>#N/A</v>
      </c>
      <c r="G866" s="14" t="e">
        <f>NA()</f>
        <v>#N/A</v>
      </c>
      <c r="H866" s="14" t="e">
        <f>NA()</f>
        <v>#N/A</v>
      </c>
      <c r="I866" s="86" t="e">
        <f>NA()</f>
        <v>#N/A</v>
      </c>
      <c r="J866" s="87" t="e">
        <f>data비교작업!S869*100</f>
        <v>#N/A</v>
      </c>
      <c r="K866" s="85" t="e">
        <v>#N/A</v>
      </c>
    </row>
    <row r="867" spans="1:11" ht="18" customHeight="1" x14ac:dyDescent="0.25">
      <c r="A867" s="5">
        <v>17957</v>
      </c>
      <c r="B867" s="79" t="e">
        <f>NA()</f>
        <v>#N/A</v>
      </c>
      <c r="C867" s="80" t="e">
        <v>#N/A</v>
      </c>
      <c r="D867" s="14">
        <f>31.3</f>
        <v>31.3</v>
      </c>
      <c r="E867" s="14" t="e">
        <f>NA()</f>
        <v>#N/A</v>
      </c>
      <c r="F867" s="14" t="e">
        <f>NA()</f>
        <v>#N/A</v>
      </c>
      <c r="G867" s="14" t="e">
        <f>NA()</f>
        <v>#N/A</v>
      </c>
      <c r="H867" s="14" t="e">
        <f>NA()</f>
        <v>#N/A</v>
      </c>
      <c r="I867" s="86" t="e">
        <f>NA()</f>
        <v>#N/A</v>
      </c>
      <c r="J867" s="87" t="e">
        <f>data비교작업!S870*100</f>
        <v>#N/A</v>
      </c>
      <c r="K867" s="85" t="e">
        <v>#N/A</v>
      </c>
    </row>
    <row r="868" spans="1:11" ht="18" customHeight="1" x14ac:dyDescent="0.25">
      <c r="A868" s="5">
        <v>17929</v>
      </c>
      <c r="B868" s="79" t="e">
        <f>NA()</f>
        <v>#N/A</v>
      </c>
      <c r="C868" s="80" t="e">
        <v>#N/A</v>
      </c>
      <c r="D868" s="14">
        <f>32.9</f>
        <v>32.9</v>
      </c>
      <c r="E868" s="14" t="e">
        <f>NA()</f>
        <v>#N/A</v>
      </c>
      <c r="F868" s="14" t="e">
        <f>NA()</f>
        <v>#N/A</v>
      </c>
      <c r="G868" s="14" t="e">
        <f>NA()</f>
        <v>#N/A</v>
      </c>
      <c r="H868" s="14" t="e">
        <f>NA()</f>
        <v>#N/A</v>
      </c>
      <c r="I868" s="86" t="e">
        <f>NA()</f>
        <v>#N/A</v>
      </c>
      <c r="J868" s="87" t="e">
        <f>data비교작업!S871*100</f>
        <v>#N/A</v>
      </c>
      <c r="K868" s="85" t="e">
        <v>#N/A</v>
      </c>
    </row>
    <row r="869" spans="1:11" ht="18" customHeight="1" x14ac:dyDescent="0.25">
      <c r="A869" s="5">
        <v>17898</v>
      </c>
      <c r="B869" s="79" t="e">
        <f>NA()</f>
        <v>#N/A</v>
      </c>
      <c r="C869" s="80" t="e">
        <v>#N/A</v>
      </c>
      <c r="D869" s="14">
        <f>35</f>
        <v>35</v>
      </c>
      <c r="E869" s="14" t="e">
        <f>NA()</f>
        <v>#N/A</v>
      </c>
      <c r="F869" s="14" t="e">
        <f>NA()</f>
        <v>#N/A</v>
      </c>
      <c r="G869" s="14" t="e">
        <f>NA()</f>
        <v>#N/A</v>
      </c>
      <c r="H869" s="14" t="e">
        <f>NA()</f>
        <v>#N/A</v>
      </c>
      <c r="I869" s="86" t="e">
        <f>NA()</f>
        <v>#N/A</v>
      </c>
      <c r="J869" s="87" t="e">
        <f>data비교작업!S872*100</f>
        <v>#N/A</v>
      </c>
      <c r="K869" s="85" t="e">
        <v>#N/A</v>
      </c>
    </row>
    <row r="870" spans="1:11" ht="18" customHeight="1" x14ac:dyDescent="0.25">
      <c r="A870" s="5">
        <v>17867</v>
      </c>
      <c r="B870" s="79" t="e">
        <f>NA()</f>
        <v>#N/A</v>
      </c>
      <c r="C870" s="80" t="e">
        <v>#N/A</v>
      </c>
      <c r="D870" s="14">
        <f>42.4</f>
        <v>42.4</v>
      </c>
      <c r="E870" s="14" t="e">
        <f>NA()</f>
        <v>#N/A</v>
      </c>
      <c r="F870" s="14" t="e">
        <f>NA()</f>
        <v>#N/A</v>
      </c>
      <c r="G870" s="14" t="e">
        <f>NA()</f>
        <v>#N/A</v>
      </c>
      <c r="H870" s="14" t="e">
        <f>NA()</f>
        <v>#N/A</v>
      </c>
      <c r="I870" s="86" t="e">
        <f>NA()</f>
        <v>#N/A</v>
      </c>
      <c r="J870" s="87" t="e">
        <f>data비교작업!S873*100</f>
        <v>#N/A</v>
      </c>
      <c r="K870" s="85" t="e">
        <v>#N/A</v>
      </c>
    </row>
    <row r="871" spans="1:11" ht="18" customHeight="1" x14ac:dyDescent="0.25">
      <c r="A871" s="5">
        <v>17837</v>
      </c>
      <c r="B871" s="79" t="e">
        <f>NA()</f>
        <v>#N/A</v>
      </c>
      <c r="C871" s="80" t="e">
        <v>#N/A</v>
      </c>
      <c r="D871" s="14">
        <f>47.2</f>
        <v>47.2</v>
      </c>
      <c r="E871" s="14" t="e">
        <f>NA()</f>
        <v>#N/A</v>
      </c>
      <c r="F871" s="14" t="e">
        <f>NA()</f>
        <v>#N/A</v>
      </c>
      <c r="G871" s="14" t="e">
        <f>NA()</f>
        <v>#N/A</v>
      </c>
      <c r="H871" s="14" t="e">
        <f>NA()</f>
        <v>#N/A</v>
      </c>
      <c r="I871" s="86" t="e">
        <f>NA()</f>
        <v>#N/A</v>
      </c>
      <c r="J871" s="87" t="e">
        <f>data비교작업!S874*100</f>
        <v>#N/A</v>
      </c>
      <c r="K871" s="85" t="e">
        <v>#N/A</v>
      </c>
    </row>
    <row r="872" spans="1:11" ht="18" customHeight="1" x14ac:dyDescent="0.25">
      <c r="A872" s="5">
        <v>17806</v>
      </c>
      <c r="B872" s="79" t="e">
        <f>NA()</f>
        <v>#N/A</v>
      </c>
      <c r="C872" s="80" t="e">
        <v>#N/A</v>
      </c>
      <c r="D872" s="14">
        <f>42.1</f>
        <v>42.1</v>
      </c>
      <c r="E872" s="14" t="e">
        <f>NA()</f>
        <v>#N/A</v>
      </c>
      <c r="F872" s="14" t="e">
        <f>NA()</f>
        <v>#N/A</v>
      </c>
      <c r="G872" s="14" t="e">
        <f>NA()</f>
        <v>#N/A</v>
      </c>
      <c r="H872" s="14" t="e">
        <f>NA()</f>
        <v>#N/A</v>
      </c>
      <c r="I872" s="86" t="e">
        <f>NA()</f>
        <v>#N/A</v>
      </c>
      <c r="J872" s="87" t="e">
        <f>data비교작업!S875*100</f>
        <v>#N/A</v>
      </c>
      <c r="K872" s="85" t="e">
        <v>#N/A</v>
      </c>
    </row>
    <row r="873" spans="1:11" ht="18" customHeight="1" x14ac:dyDescent="0.25">
      <c r="A873" s="5">
        <v>17776</v>
      </c>
      <c r="B873" s="79" t="e">
        <f>NA()</f>
        <v>#N/A</v>
      </c>
      <c r="C873" s="80" t="e">
        <v>#N/A</v>
      </c>
      <c r="D873" s="14">
        <f>45.1</f>
        <v>45.1</v>
      </c>
      <c r="E873" s="14" t="e">
        <f>NA()</f>
        <v>#N/A</v>
      </c>
      <c r="F873" s="14" t="e">
        <f>NA()</f>
        <v>#N/A</v>
      </c>
      <c r="G873" s="14" t="e">
        <f>NA()</f>
        <v>#N/A</v>
      </c>
      <c r="H873" s="14" t="e">
        <f>NA()</f>
        <v>#N/A</v>
      </c>
      <c r="I873" s="86" t="e">
        <f>NA()</f>
        <v>#N/A</v>
      </c>
      <c r="J873" s="87" t="e">
        <f>data비교작업!S876*100</f>
        <v>#N/A</v>
      </c>
      <c r="K873" s="85" t="e">
        <v>#N/A</v>
      </c>
    </row>
    <row r="874" spans="1:11" ht="18" customHeight="1" x14ac:dyDescent="0.25">
      <c r="A874" s="5">
        <v>17745</v>
      </c>
      <c r="B874" s="79" t="e">
        <f>NA()</f>
        <v>#N/A</v>
      </c>
      <c r="C874" s="80" t="e">
        <v>#N/A</v>
      </c>
      <c r="D874" s="14">
        <f>48.4</f>
        <v>48.4</v>
      </c>
      <c r="E874" s="14" t="e">
        <f>NA()</f>
        <v>#N/A</v>
      </c>
      <c r="F874" s="14" t="e">
        <f>NA()</f>
        <v>#N/A</v>
      </c>
      <c r="G874" s="14" t="e">
        <f>NA()</f>
        <v>#N/A</v>
      </c>
      <c r="H874" s="14" t="e">
        <f>NA()</f>
        <v>#N/A</v>
      </c>
      <c r="I874" s="86" t="e">
        <f>NA()</f>
        <v>#N/A</v>
      </c>
      <c r="J874" s="87" t="e">
        <f>data비교작업!S877*100</f>
        <v>#N/A</v>
      </c>
      <c r="K874" s="85" t="e">
        <v>#N/A</v>
      </c>
    </row>
    <row r="875" spans="1:11" ht="18" customHeight="1" x14ac:dyDescent="0.25">
      <c r="A875" s="5">
        <v>17714</v>
      </c>
      <c r="B875" s="79" t="e">
        <f>NA()</f>
        <v>#N/A</v>
      </c>
      <c r="C875" s="80" t="e">
        <v>#N/A</v>
      </c>
      <c r="D875" s="14">
        <f>53</f>
        <v>53</v>
      </c>
      <c r="E875" s="14" t="e">
        <f>NA()</f>
        <v>#N/A</v>
      </c>
      <c r="F875" s="14" t="e">
        <f>NA()</f>
        <v>#N/A</v>
      </c>
      <c r="G875" s="14" t="e">
        <f>NA()</f>
        <v>#N/A</v>
      </c>
      <c r="H875" s="14" t="e">
        <f>NA()</f>
        <v>#N/A</v>
      </c>
      <c r="I875" s="86" t="e">
        <f>NA()</f>
        <v>#N/A</v>
      </c>
      <c r="J875" s="87" t="e">
        <f>data비교작업!S878*100</f>
        <v>#N/A</v>
      </c>
      <c r="K875" s="85" t="e">
        <v>#N/A</v>
      </c>
    </row>
    <row r="876" spans="1:11" ht="18" customHeight="1" x14ac:dyDescent="0.25">
      <c r="A876" s="5">
        <v>17684</v>
      </c>
      <c r="B876" s="79" t="e">
        <f>NA()</f>
        <v>#N/A</v>
      </c>
      <c r="C876" s="80" t="e">
        <v>#N/A</v>
      </c>
      <c r="D876" s="14">
        <f>49.5</f>
        <v>49.5</v>
      </c>
      <c r="E876" s="14" t="e">
        <f>NA()</f>
        <v>#N/A</v>
      </c>
      <c r="F876" s="14" t="e">
        <f>NA()</f>
        <v>#N/A</v>
      </c>
      <c r="G876" s="14" t="e">
        <f>NA()</f>
        <v>#N/A</v>
      </c>
      <c r="H876" s="14" t="e">
        <f>NA()</f>
        <v>#N/A</v>
      </c>
      <c r="I876" s="86" t="e">
        <f>NA()</f>
        <v>#N/A</v>
      </c>
      <c r="J876" s="87" t="e">
        <f>data비교작업!S879*100</f>
        <v>#N/A</v>
      </c>
      <c r="K876" s="85" t="e">
        <v>#N/A</v>
      </c>
    </row>
    <row r="877" spans="1:11" ht="18" customHeight="1" x14ac:dyDescent="0.25">
      <c r="A877" s="5">
        <v>17653</v>
      </c>
      <c r="B877" s="79" t="e">
        <f>NA()</f>
        <v>#N/A</v>
      </c>
      <c r="C877" s="80" t="e">
        <v>#N/A</v>
      </c>
      <c r="D877" s="14">
        <f>45.4</f>
        <v>45.4</v>
      </c>
      <c r="E877" s="14" t="e">
        <f>NA()</f>
        <v>#N/A</v>
      </c>
      <c r="F877" s="14" t="e">
        <f>NA()</f>
        <v>#N/A</v>
      </c>
      <c r="G877" s="14" t="e">
        <f>NA()</f>
        <v>#N/A</v>
      </c>
      <c r="H877" s="14" t="e">
        <f>NA()</f>
        <v>#N/A</v>
      </c>
      <c r="I877" s="86" t="e">
        <f>NA()</f>
        <v>#N/A</v>
      </c>
      <c r="J877" s="87" t="e">
        <f>data비교작업!S880*100</f>
        <v>#N/A</v>
      </c>
      <c r="K877" s="85" t="e">
        <v>#N/A</v>
      </c>
    </row>
    <row r="878" spans="1:11" ht="18" customHeight="1" x14ac:dyDescent="0.25">
      <c r="A878" s="5">
        <v>17623</v>
      </c>
      <c r="B878" s="79" t="e">
        <f>NA()</f>
        <v>#N/A</v>
      </c>
      <c r="C878" s="80" t="e">
        <v>#N/A</v>
      </c>
      <c r="D878" s="14">
        <f>43.3</f>
        <v>43.3</v>
      </c>
      <c r="E878" s="14" t="e">
        <f>NA()</f>
        <v>#N/A</v>
      </c>
      <c r="F878" s="14" t="e">
        <f>NA()</f>
        <v>#N/A</v>
      </c>
      <c r="G878" s="14" t="e">
        <f>NA()</f>
        <v>#N/A</v>
      </c>
      <c r="H878" s="14" t="e">
        <f>NA()</f>
        <v>#N/A</v>
      </c>
      <c r="I878" s="86" t="e">
        <f>NA()</f>
        <v>#N/A</v>
      </c>
      <c r="J878" s="87" t="e">
        <f>data비교작업!S881*100</f>
        <v>#N/A</v>
      </c>
      <c r="K878" s="85" t="e">
        <v>#N/A</v>
      </c>
    </row>
    <row r="879" spans="1:11" ht="18" customHeight="1" x14ac:dyDescent="0.25">
      <c r="A879" s="5">
        <v>17592</v>
      </c>
      <c r="B879" s="79" t="e">
        <f>NA()</f>
        <v>#N/A</v>
      </c>
      <c r="C879" s="80" t="e">
        <v>#N/A</v>
      </c>
      <c r="D879" s="14">
        <f>50.2</f>
        <v>50.2</v>
      </c>
      <c r="E879" s="14" t="e">
        <f>NA()</f>
        <v>#N/A</v>
      </c>
      <c r="F879" s="14" t="e">
        <f>NA()</f>
        <v>#N/A</v>
      </c>
      <c r="G879" s="14" t="e">
        <f>NA()</f>
        <v>#N/A</v>
      </c>
      <c r="H879" s="14" t="e">
        <f>NA()</f>
        <v>#N/A</v>
      </c>
      <c r="I879" s="86" t="e">
        <f>NA()</f>
        <v>#N/A</v>
      </c>
      <c r="J879" s="87" t="e">
        <f>data비교작업!S882*100</f>
        <v>#N/A</v>
      </c>
      <c r="K879" s="85" t="e">
        <v>#N/A</v>
      </c>
    </row>
    <row r="880" spans="1:11" ht="18" customHeight="1" x14ac:dyDescent="0.25">
      <c r="A880" s="5">
        <v>17563</v>
      </c>
      <c r="B880" s="79" t="e">
        <f>NA()</f>
        <v>#N/A</v>
      </c>
      <c r="C880" s="80" t="e">
        <v>#N/A</v>
      </c>
      <c r="D880" s="14">
        <f>51.7</f>
        <v>51.7</v>
      </c>
      <c r="E880" s="14" t="e">
        <f>NA()</f>
        <v>#N/A</v>
      </c>
      <c r="F880" s="14" t="e">
        <f>NA()</f>
        <v>#N/A</v>
      </c>
      <c r="G880" s="14" t="e">
        <f>NA()</f>
        <v>#N/A</v>
      </c>
      <c r="H880" s="14" t="e">
        <f>NA()</f>
        <v>#N/A</v>
      </c>
      <c r="I880" s="86" t="e">
        <f>NA()</f>
        <v>#N/A</v>
      </c>
      <c r="J880" s="87" t="e">
        <f>data비교작업!S883*100</f>
        <v>#N/A</v>
      </c>
      <c r="K880" s="85" t="e">
        <v>#N/A</v>
      </c>
    </row>
  </sheetData>
  <phoneticPr fontId="19" type="noConversion"/>
  <pageMargins left="0.7" right="0.7" top="0.75" bottom="0.75" header="0.3" footer="0.3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3"/>
  <sheetViews>
    <sheetView zoomScaleNormal="10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V13" sqref="V13"/>
    </sheetView>
  </sheetViews>
  <sheetFormatPr defaultColWidth="8.75" defaultRowHeight="13.5" x14ac:dyDescent="0.25"/>
  <cols>
    <col min="1" max="1" width="16" style="33" bestFit="1" customWidth="1"/>
    <col min="2" max="2" width="9.125" style="34" bestFit="1" customWidth="1"/>
    <col min="3" max="3" width="8.75" style="34"/>
    <col min="4" max="4" width="9.125" style="35" bestFit="1" customWidth="1"/>
    <col min="5" max="5" width="8.75" style="36"/>
    <col min="6" max="6" width="9.125" style="37" bestFit="1" customWidth="1"/>
    <col min="7" max="7" width="8.75" style="38"/>
    <col min="8" max="8" width="8.75" style="39"/>
    <col min="9" max="9" width="9.125" style="37" bestFit="1" customWidth="1"/>
    <col min="10" max="10" width="8.75" style="38"/>
    <col min="11" max="11" width="8.75" style="39"/>
    <col min="12" max="12" width="9.125" style="37" bestFit="1" customWidth="1"/>
    <col min="13" max="13" width="8.75" style="40"/>
    <col min="14" max="14" width="9.125" style="37" bestFit="1" customWidth="1"/>
    <col min="15" max="15" width="8.75" style="34"/>
    <col min="16" max="16" width="8.75" style="39"/>
    <col min="17" max="17" width="9.125" style="34" bestFit="1" customWidth="1"/>
    <col min="18" max="18" width="8" style="46" customWidth="1"/>
    <col min="19" max="19" width="8" style="41" customWidth="1"/>
    <col min="20" max="20" width="8.75" style="54"/>
    <col min="21" max="21" width="8.75" style="55"/>
    <col min="22" max="16384" width="8.75" style="24"/>
  </cols>
  <sheetData>
    <row r="1" spans="1:21" s="19" customFormat="1" ht="16.5" customHeight="1" x14ac:dyDescent="0.25">
      <c r="A1" s="18" t="s">
        <v>38</v>
      </c>
      <c r="B1" s="89" t="s">
        <v>3</v>
      </c>
      <c r="C1" s="90"/>
      <c r="D1" s="89" t="s">
        <v>34</v>
      </c>
      <c r="E1" s="90"/>
      <c r="F1" s="89" t="s">
        <v>21</v>
      </c>
      <c r="G1" s="88"/>
      <c r="H1" s="90"/>
      <c r="I1" s="89" t="s">
        <v>23</v>
      </c>
      <c r="J1" s="88"/>
      <c r="K1" s="90"/>
      <c r="L1" s="89" t="s">
        <v>24</v>
      </c>
      <c r="M1" s="90"/>
      <c r="N1" s="89" t="s">
        <v>25</v>
      </c>
      <c r="O1" s="88"/>
      <c r="P1" s="90"/>
      <c r="Q1" s="89" t="s">
        <v>26</v>
      </c>
      <c r="R1" s="88"/>
      <c r="S1" s="88"/>
      <c r="T1" s="88"/>
      <c r="U1" s="88"/>
    </row>
    <row r="2" spans="1:21" ht="13.5" customHeight="1" x14ac:dyDescent="0.25">
      <c r="A2" s="49"/>
      <c r="B2" s="65" t="s">
        <v>7</v>
      </c>
      <c r="C2" s="65" t="s">
        <v>4</v>
      </c>
      <c r="D2" s="61" t="s">
        <v>8</v>
      </c>
      <c r="E2" s="30" t="s">
        <v>4</v>
      </c>
      <c r="F2" s="62" t="s">
        <v>20</v>
      </c>
      <c r="G2" s="31" t="s">
        <v>4</v>
      </c>
      <c r="H2" s="51" t="s">
        <v>19</v>
      </c>
      <c r="I2" s="63" t="s">
        <v>10</v>
      </c>
      <c r="J2" s="31" t="s">
        <v>4</v>
      </c>
      <c r="K2" s="51" t="s">
        <v>19</v>
      </c>
      <c r="L2" s="63" t="s">
        <v>11</v>
      </c>
      <c r="M2" s="64" t="s">
        <v>4</v>
      </c>
      <c r="N2" s="63" t="s">
        <v>9</v>
      </c>
      <c r="O2" s="29" t="s">
        <v>4</v>
      </c>
      <c r="P2" s="51" t="s">
        <v>19</v>
      </c>
      <c r="Q2" s="65" t="s">
        <v>12</v>
      </c>
      <c r="R2" s="66" t="s">
        <v>4</v>
      </c>
      <c r="S2" s="67" t="s">
        <v>19</v>
      </c>
      <c r="T2" s="68" t="s">
        <v>36</v>
      </c>
      <c r="U2" s="69"/>
    </row>
    <row r="3" spans="1:21" s="34" customFormat="1" x14ac:dyDescent="0.25">
      <c r="A3" s="53" t="s">
        <v>16</v>
      </c>
      <c r="B3" s="29" t="s">
        <v>0</v>
      </c>
      <c r="C3" s="29" t="s">
        <v>1</v>
      </c>
      <c r="D3" s="50"/>
      <c r="E3" s="30"/>
      <c r="F3" s="29" t="s">
        <v>5</v>
      </c>
      <c r="G3" s="31" t="s">
        <v>6</v>
      </c>
      <c r="H3" s="51"/>
      <c r="I3" s="29" t="s">
        <v>5</v>
      </c>
      <c r="J3" s="31" t="s">
        <v>13</v>
      </c>
      <c r="K3" s="51" t="s">
        <v>22</v>
      </c>
      <c r="L3" s="29" t="s">
        <v>5</v>
      </c>
      <c r="M3" s="30"/>
      <c r="N3" s="29" t="s">
        <v>5</v>
      </c>
      <c r="O3" s="29" t="s">
        <v>15</v>
      </c>
      <c r="P3" s="51"/>
      <c r="Q3" s="29" t="s">
        <v>5</v>
      </c>
      <c r="R3" s="31" t="s">
        <v>14</v>
      </c>
      <c r="S3" s="52" t="s">
        <v>22</v>
      </c>
      <c r="T3" s="56"/>
      <c r="U3" s="57"/>
    </row>
    <row r="4" spans="1:21" x14ac:dyDescent="0.25">
      <c r="A4" s="1">
        <v>44316</v>
      </c>
      <c r="B4" s="20">
        <f>98</f>
        <v>98</v>
      </c>
      <c r="C4" s="20">
        <v>88</v>
      </c>
      <c r="D4" s="71">
        <f>60.7</f>
        <v>60.7</v>
      </c>
      <c r="E4" s="21">
        <v>60.7</v>
      </c>
      <c r="F4" s="20">
        <f>41.1</f>
        <v>41.1</v>
      </c>
      <c r="G4" s="22" t="e">
        <v>#N/A</v>
      </c>
      <c r="H4" s="72"/>
      <c r="I4" s="20" t="e">
        <f>NA()</f>
        <v>#N/A</v>
      </c>
      <c r="J4" s="22" t="e">
        <v>#N/A</v>
      </c>
      <c r="K4" s="72"/>
      <c r="L4" s="20">
        <f>2.3</f>
        <v>2.2999999999999998</v>
      </c>
      <c r="M4" s="21">
        <v>2.2999999999999998</v>
      </c>
      <c r="N4" s="20" t="e">
        <f>NA()</f>
        <v>#N/A</v>
      </c>
      <c r="O4" s="20" t="e">
        <v>#N/A</v>
      </c>
      <c r="P4" s="72"/>
      <c r="Q4" s="20" t="e">
        <f>NA()</f>
        <v>#N/A</v>
      </c>
      <c r="R4" s="44" t="e">
        <v>#N/A</v>
      </c>
      <c r="S4" s="23"/>
      <c r="T4" s="59" t="e">
        <f>VLOOKUP(A4,[1]인포맥스!$A:$I,9,0)</f>
        <v>#N/A</v>
      </c>
      <c r="U4" s="60"/>
    </row>
    <row r="5" spans="1:21" x14ac:dyDescent="0.25">
      <c r="A5" s="2">
        <v>44286</v>
      </c>
      <c r="B5" s="25">
        <f>88</f>
        <v>88</v>
      </c>
      <c r="C5" s="25">
        <v>83</v>
      </c>
      <c r="D5" s="73">
        <f>64.7</f>
        <v>64.7</v>
      </c>
      <c r="E5" s="26">
        <v>64.7</v>
      </c>
      <c r="F5" s="25">
        <f>16.5</f>
        <v>16.5</v>
      </c>
      <c r="G5" s="27">
        <v>53783</v>
      </c>
      <c r="H5" s="74">
        <f>(G5-G17)/G17</f>
        <v>0.16496631793272251</v>
      </c>
      <c r="I5" s="25">
        <f>3.9</f>
        <v>3.9</v>
      </c>
      <c r="J5" s="27">
        <v>106.85</v>
      </c>
      <c r="K5" s="74">
        <f>(J5-J17)/J17</f>
        <v>3.9194709200544652E-2</v>
      </c>
      <c r="L5" s="25">
        <f>1.5</f>
        <v>1.5</v>
      </c>
      <c r="M5" s="26">
        <v>1.5</v>
      </c>
      <c r="N5" s="25" t="e">
        <f>NA()</f>
        <v>#N/A</v>
      </c>
      <c r="O5" s="25" t="e">
        <v>#N/A</v>
      </c>
      <c r="P5" s="74" t="e">
        <f t="shared" ref="P5:P68" si="0">(O5-O17)/O17</f>
        <v>#N/A</v>
      </c>
      <c r="Q5" s="25">
        <f>6.3</f>
        <v>6.3</v>
      </c>
      <c r="R5" s="45">
        <v>125.3</v>
      </c>
      <c r="S5" s="28">
        <f>(R5-R17)/R17</f>
        <v>6.7291311754684766E-2</v>
      </c>
      <c r="T5" s="59">
        <f>VLOOKUP(A5,[1]인포맥스!$A:$I,9,0)</f>
        <v>101.762</v>
      </c>
      <c r="U5" s="58">
        <f>(T5-T17)/T17</f>
        <v>2.7924636099506756E-2</v>
      </c>
    </row>
    <row r="6" spans="1:21" x14ac:dyDescent="0.25">
      <c r="A6" s="3">
        <v>44255</v>
      </c>
      <c r="B6" s="29">
        <f>81</f>
        <v>81</v>
      </c>
      <c r="C6" s="29">
        <v>76</v>
      </c>
      <c r="D6" s="50">
        <f>60.8</f>
        <v>60.8</v>
      </c>
      <c r="E6" s="30">
        <v>60.8</v>
      </c>
      <c r="F6" s="29">
        <f>9.2</f>
        <v>9.1999999999999993</v>
      </c>
      <c r="G6" s="31">
        <v>44693</v>
      </c>
      <c r="H6" s="51">
        <f t="shared" ref="H6:H69" si="1">(G6-G18)/G18</f>
        <v>9.2417872506843954E-2</v>
      </c>
      <c r="I6" s="29">
        <f>2.1</f>
        <v>2.1</v>
      </c>
      <c r="J6" s="31">
        <v>105.91</v>
      </c>
      <c r="K6" s="51">
        <f t="shared" ref="K6:K69" si="2">(J6-J18)/J18</f>
        <v>2.0917678812415672E-2</v>
      </c>
      <c r="L6" s="29">
        <f>1.1</f>
        <v>1.1000000000000001</v>
      </c>
      <c r="M6" s="30">
        <v>1.1000000000000001</v>
      </c>
      <c r="N6" s="29">
        <f>10.7</f>
        <v>10.7</v>
      </c>
      <c r="O6" s="29">
        <v>3271405.8</v>
      </c>
      <c r="P6" s="51">
        <f t="shared" si="0"/>
        <v>0.10722317489742618</v>
      </c>
      <c r="Q6" s="29">
        <f>6.3</f>
        <v>6.3</v>
      </c>
      <c r="R6" s="43">
        <v>124.8</v>
      </c>
      <c r="S6" s="32">
        <f t="shared" ref="S6:S69" si="3">(R6-R18)/R18</f>
        <v>6.032285471537803E-2</v>
      </c>
      <c r="T6" s="54">
        <f>VLOOKUP(A6,[1]인포맥스!$A:$I,9,0)</f>
        <v>101.5475</v>
      </c>
      <c r="U6" s="70">
        <f t="shared" ref="U6:U69" si="4">(T6-T18)/T18</f>
        <v>2.5567092978454439E-2</v>
      </c>
    </row>
    <row r="7" spans="1:21" x14ac:dyDescent="0.25">
      <c r="A7" s="3">
        <v>44227</v>
      </c>
      <c r="B7" s="29">
        <f>78</f>
        <v>78</v>
      </c>
      <c r="C7" s="29">
        <v>77</v>
      </c>
      <c r="D7" s="50">
        <f>58.7</f>
        <v>58.7</v>
      </c>
      <c r="E7" s="30">
        <v>58.7</v>
      </c>
      <c r="F7" s="29">
        <f>11.4</f>
        <v>11.4</v>
      </c>
      <c r="G7" s="31">
        <v>48010</v>
      </c>
      <c r="H7" s="51">
        <f t="shared" si="1"/>
        <v>0.11384358397327332</v>
      </c>
      <c r="I7" s="29">
        <f>0.9</f>
        <v>0.9</v>
      </c>
      <c r="J7" s="31">
        <v>105.05</v>
      </c>
      <c r="K7" s="51">
        <f t="shared" si="2"/>
        <v>9.3197540353574058E-3</v>
      </c>
      <c r="L7" s="29">
        <f>0.6</f>
        <v>0.6</v>
      </c>
      <c r="M7" s="30">
        <v>0.6</v>
      </c>
      <c r="N7" s="29">
        <f>10.1</f>
        <v>10.1</v>
      </c>
      <c r="O7" s="29">
        <v>3223486.7</v>
      </c>
      <c r="P7" s="51">
        <f t="shared" si="0"/>
        <v>0.10053826392897638</v>
      </c>
      <c r="Q7" s="29">
        <f>6.2</f>
        <v>6.2</v>
      </c>
      <c r="R7" s="43">
        <v>124.1</v>
      </c>
      <c r="S7" s="32">
        <f t="shared" si="3"/>
        <v>5.6170212765957399E-2</v>
      </c>
      <c r="T7" s="54">
        <f>VLOOKUP(A7,[1]인포맥스!$A:$I,9,0)</f>
        <v>101.30889999999999</v>
      </c>
      <c r="U7" s="70">
        <f t="shared" si="4"/>
        <v>2.3187760881120574E-2</v>
      </c>
    </row>
    <row r="8" spans="1:21" x14ac:dyDescent="0.25">
      <c r="A8" s="3">
        <v>44196</v>
      </c>
      <c r="B8" s="29">
        <f>74</f>
        <v>74</v>
      </c>
      <c r="C8" s="29">
        <v>75</v>
      </c>
      <c r="D8" s="50">
        <f>60.5</f>
        <v>60.5</v>
      </c>
      <c r="E8" s="30">
        <v>60.5</v>
      </c>
      <c r="F8" s="29">
        <f>12.4</f>
        <v>12.4</v>
      </c>
      <c r="G8" s="31">
        <v>51332</v>
      </c>
      <c r="H8" s="51">
        <f t="shared" si="1"/>
        <v>0.12402557589559429</v>
      </c>
      <c r="I8" s="29">
        <f>0.2</f>
        <v>0.2</v>
      </c>
      <c r="J8" s="31">
        <v>103.9</v>
      </c>
      <c r="K8" s="51">
        <f t="shared" si="2"/>
        <v>1.9286403085824768E-3</v>
      </c>
      <c r="L8" s="29">
        <f>0.5</f>
        <v>0.5</v>
      </c>
      <c r="M8" s="30">
        <v>0.5</v>
      </c>
      <c r="N8" s="29">
        <f>9.8</f>
        <v>9.8000000000000007</v>
      </c>
      <c r="O8" s="29">
        <v>3197671.2</v>
      </c>
      <c r="P8" s="51">
        <f t="shared" si="0"/>
        <v>9.7937700976650457E-2</v>
      </c>
      <c r="Q8" s="29">
        <f>5.9</f>
        <v>5.9</v>
      </c>
      <c r="R8" s="43">
        <v>123.4</v>
      </c>
      <c r="S8" s="32">
        <f t="shared" si="3"/>
        <v>5.3800170794193095E-2</v>
      </c>
      <c r="T8" s="54">
        <f>VLOOKUP(A8,[1]인포맥스!$A:$I,9,0)</f>
        <v>101.0518</v>
      </c>
      <c r="U8" s="70">
        <f t="shared" si="4"/>
        <v>2.1062615738998151E-2</v>
      </c>
    </row>
    <row r="9" spans="1:21" x14ac:dyDescent="0.25">
      <c r="A9" s="3">
        <v>44165</v>
      </c>
      <c r="B9" s="29">
        <f>76</f>
        <v>76</v>
      </c>
      <c r="C9" s="29">
        <v>78</v>
      </c>
      <c r="D9" s="50">
        <f>57.7</f>
        <v>57.7</v>
      </c>
      <c r="E9" s="30">
        <v>57.7</v>
      </c>
      <c r="F9" s="29">
        <f>3.9</f>
        <v>3.9</v>
      </c>
      <c r="G9" s="31">
        <v>45752</v>
      </c>
      <c r="H9" s="51">
        <f t="shared" si="1"/>
        <v>3.8850162348720511E-2</v>
      </c>
      <c r="I9" s="29">
        <f>-0.3</f>
        <v>-0.3</v>
      </c>
      <c r="J9" s="31">
        <v>103.09</v>
      </c>
      <c r="K9" s="51">
        <f t="shared" si="2"/>
        <v>-3.0944782903006788E-3</v>
      </c>
      <c r="L9" s="29">
        <f>0.6</f>
        <v>0.6</v>
      </c>
      <c r="M9" s="30">
        <v>0.6</v>
      </c>
      <c r="N9" s="29">
        <f>9.7</f>
        <v>9.6999999999999993</v>
      </c>
      <c r="O9" s="29">
        <v>3183500.9</v>
      </c>
      <c r="P9" s="51">
        <f t="shared" si="0"/>
        <v>9.7204502249104888E-2</v>
      </c>
      <c r="Q9" s="29">
        <f>5.6</f>
        <v>5.6</v>
      </c>
      <c r="R9" s="43">
        <v>122.6</v>
      </c>
      <c r="S9" s="32">
        <f t="shared" si="3"/>
        <v>5.4170249355116058E-2</v>
      </c>
      <c r="T9" s="54">
        <f>VLOOKUP(A9,[1]인포맥스!$A:$I,9,0)</f>
        <v>100.7851</v>
      </c>
      <c r="U9" s="70">
        <f t="shared" si="4"/>
        <v>1.9289466391849398E-2</v>
      </c>
    </row>
    <row r="10" spans="1:21" x14ac:dyDescent="0.25">
      <c r="A10" s="3">
        <v>44135</v>
      </c>
      <c r="B10" s="29">
        <f>73</f>
        <v>73</v>
      </c>
      <c r="C10" s="29">
        <v>74</v>
      </c>
      <c r="D10" s="50">
        <f>58.8</f>
        <v>58.8</v>
      </c>
      <c r="E10" s="30">
        <v>58.8</v>
      </c>
      <c r="F10" s="29">
        <f>-3.8</f>
        <v>-3.8</v>
      </c>
      <c r="G10" s="31">
        <v>44819</v>
      </c>
      <c r="H10" s="51">
        <f t="shared" si="1"/>
        <v>-3.9229136744624749E-2</v>
      </c>
      <c r="I10" s="29">
        <f>-0.5</f>
        <v>-0.5</v>
      </c>
      <c r="J10" s="31">
        <v>103.01</v>
      </c>
      <c r="K10" s="51">
        <f t="shared" si="2"/>
        <v>-5.3109308613363956E-3</v>
      </c>
      <c r="L10" s="29">
        <f>0.1</f>
        <v>0.1</v>
      </c>
      <c r="M10" s="30">
        <v>0.1</v>
      </c>
      <c r="N10" s="29">
        <f>9.7</f>
        <v>9.6999999999999993</v>
      </c>
      <c r="O10" s="29">
        <v>3152811.6</v>
      </c>
      <c r="P10" s="51">
        <f t="shared" si="0"/>
        <v>9.6944477410413371E-2</v>
      </c>
      <c r="Q10" s="29">
        <f>5</f>
        <v>5</v>
      </c>
      <c r="R10" s="43">
        <v>121.6</v>
      </c>
      <c r="S10" s="32">
        <f t="shared" si="3"/>
        <v>5.1903114186851215E-2</v>
      </c>
      <c r="T10" s="54">
        <f>VLOOKUP(A10,[1]인포맥스!$A:$I,9,0)</f>
        <v>100.48569999999999</v>
      </c>
      <c r="U10" s="70">
        <f t="shared" si="4"/>
        <v>1.7266223757123559E-2</v>
      </c>
    </row>
    <row r="11" spans="1:21" x14ac:dyDescent="0.25">
      <c r="A11" s="3">
        <v>44104</v>
      </c>
      <c r="B11" s="29">
        <f>63</f>
        <v>63</v>
      </c>
      <c r="C11" s="29">
        <v>64</v>
      </c>
      <c r="D11" s="50">
        <f>55.7</f>
        <v>55.7</v>
      </c>
      <c r="E11" s="30">
        <v>55.7</v>
      </c>
      <c r="F11" s="29">
        <f>7.3</f>
        <v>7.3</v>
      </c>
      <c r="G11" s="31">
        <v>47820</v>
      </c>
      <c r="H11" s="51">
        <f t="shared" si="1"/>
        <v>7.1500593784310645E-2</v>
      </c>
      <c r="I11" s="29">
        <f>-0.4</f>
        <v>-0.4</v>
      </c>
      <c r="J11" s="31">
        <v>103.42</v>
      </c>
      <c r="K11" s="51">
        <f t="shared" si="2"/>
        <v>-3.6608863198458138E-3</v>
      </c>
      <c r="L11" s="29">
        <f>1</f>
        <v>1</v>
      </c>
      <c r="M11" s="30">
        <v>1</v>
      </c>
      <c r="N11" s="29">
        <f>9.2</f>
        <v>9.1999999999999993</v>
      </c>
      <c r="O11" s="29">
        <v>3115238.9</v>
      </c>
      <c r="P11" s="51">
        <f t="shared" si="0"/>
        <v>9.1812802985484707E-2</v>
      </c>
      <c r="Q11" s="29">
        <f>4.6</f>
        <v>4.5999999999999996</v>
      </c>
      <c r="R11" s="43">
        <v>120.9</v>
      </c>
      <c r="S11" s="32">
        <f t="shared" si="3"/>
        <v>5.2219321148825062E-2</v>
      </c>
      <c r="T11" s="54">
        <f>VLOOKUP(A11,[1]인포맥스!$A:$I,9,0)</f>
        <v>100.15560000000001</v>
      </c>
      <c r="U11" s="70">
        <f t="shared" si="4"/>
        <v>1.4611616435647415E-2</v>
      </c>
    </row>
    <row r="12" spans="1:21" x14ac:dyDescent="0.25">
      <c r="A12" s="3">
        <v>44074</v>
      </c>
      <c r="B12" s="29">
        <f>66</f>
        <v>66</v>
      </c>
      <c r="C12" s="29">
        <v>66</v>
      </c>
      <c r="D12" s="50">
        <f>55.6</f>
        <v>55.6</v>
      </c>
      <c r="E12" s="30">
        <v>55.6</v>
      </c>
      <c r="F12" s="29">
        <f>-10.2</f>
        <v>-10.199999999999999</v>
      </c>
      <c r="G12" s="31">
        <v>39469</v>
      </c>
      <c r="H12" s="51">
        <f t="shared" si="1"/>
        <v>-0.10338482507950932</v>
      </c>
      <c r="I12" s="29">
        <f>-0.5</f>
        <v>-0.5</v>
      </c>
      <c r="J12" s="31">
        <v>103.22</v>
      </c>
      <c r="K12" s="51">
        <f t="shared" si="2"/>
        <v>-5.0125313283207636E-3</v>
      </c>
      <c r="L12" s="29">
        <f>0.7</f>
        <v>0.7</v>
      </c>
      <c r="M12" s="30">
        <v>0.7</v>
      </c>
      <c r="N12" s="29">
        <f>9.5</f>
        <v>9.5</v>
      </c>
      <c r="O12" s="29">
        <v>3100373.4</v>
      </c>
      <c r="P12" s="51">
        <f t="shared" si="0"/>
        <v>9.4545825426633395E-2</v>
      </c>
      <c r="Q12" s="29">
        <f>4.1</f>
        <v>4.0999999999999996</v>
      </c>
      <c r="R12" s="43">
        <v>120</v>
      </c>
      <c r="S12" s="32">
        <f t="shared" si="3"/>
        <v>4.8951048951048896E-2</v>
      </c>
      <c r="T12" s="54">
        <f>VLOOKUP(A12,[1]인포맥스!$A:$I,9,0)</f>
        <v>99.811530000000005</v>
      </c>
      <c r="U12" s="70">
        <f t="shared" si="4"/>
        <v>1.1290698608683562E-2</v>
      </c>
    </row>
    <row r="13" spans="1:21" x14ac:dyDescent="0.25">
      <c r="A13" s="3">
        <v>44043</v>
      </c>
      <c r="B13" s="29">
        <f>63</f>
        <v>63</v>
      </c>
      <c r="C13" s="29">
        <v>62</v>
      </c>
      <c r="D13" s="50">
        <f>53.7</f>
        <v>53.7</v>
      </c>
      <c r="E13" s="30">
        <v>53.7</v>
      </c>
      <c r="F13" s="29">
        <f>-7.1</f>
        <v>-7.1</v>
      </c>
      <c r="G13" s="31">
        <v>42785</v>
      </c>
      <c r="H13" s="51">
        <f t="shared" si="1"/>
        <v>-7.1465775424280564E-2</v>
      </c>
      <c r="I13" s="29">
        <f>-0.8</f>
        <v>-0.8</v>
      </c>
      <c r="J13" s="31">
        <v>102.71</v>
      </c>
      <c r="K13" s="51">
        <f t="shared" si="2"/>
        <v>-7.6328502415459543E-3</v>
      </c>
      <c r="L13" s="29">
        <f>0.3</f>
        <v>0.3</v>
      </c>
      <c r="M13" s="30">
        <v>0.3</v>
      </c>
      <c r="N13" s="29">
        <f>10</f>
        <v>10</v>
      </c>
      <c r="O13" s="29">
        <v>3093300.1</v>
      </c>
      <c r="P13" s="51">
        <f t="shared" si="0"/>
        <v>0.10021412791841004</v>
      </c>
      <c r="Q13" s="29">
        <f>3.6</f>
        <v>3.6</v>
      </c>
      <c r="R13" s="43">
        <v>119</v>
      </c>
      <c r="S13" s="32">
        <f t="shared" si="3"/>
        <v>4.294478527607367E-2</v>
      </c>
      <c r="T13" s="54">
        <f>VLOOKUP(A13,[1]인포맥스!$A:$I,9,0)</f>
        <v>99.491810000000001</v>
      </c>
      <c r="U13" s="70">
        <f t="shared" si="4"/>
        <v>7.7362021707512753E-3</v>
      </c>
    </row>
    <row r="14" spans="1:21" x14ac:dyDescent="0.25">
      <c r="A14" s="3">
        <v>44012</v>
      </c>
      <c r="B14" s="29">
        <f>57</f>
        <v>57</v>
      </c>
      <c r="C14" s="29">
        <v>56</v>
      </c>
      <c r="D14" s="50">
        <f>52.2</f>
        <v>52.2</v>
      </c>
      <c r="E14" s="30">
        <v>52.2</v>
      </c>
      <c r="F14" s="29">
        <f>-10.8</f>
        <v>-10.8</v>
      </c>
      <c r="G14" s="31">
        <v>39214</v>
      </c>
      <c r="H14" s="51">
        <f t="shared" si="1"/>
        <v>-0.10893473913833848</v>
      </c>
      <c r="I14" s="29">
        <f>-1</f>
        <v>-1</v>
      </c>
      <c r="J14" s="31">
        <v>102.48</v>
      </c>
      <c r="K14" s="51">
        <f t="shared" si="2"/>
        <v>-9.8550724637680772E-3</v>
      </c>
      <c r="L14" s="29">
        <f>0</f>
        <v>0</v>
      </c>
      <c r="M14" s="30">
        <v>0</v>
      </c>
      <c r="N14" s="29">
        <f>9.9</f>
        <v>9.9</v>
      </c>
      <c r="O14" s="29">
        <v>3077284.1</v>
      </c>
      <c r="P14" s="51">
        <f t="shared" si="0"/>
        <v>9.9325283076026172E-2</v>
      </c>
      <c r="Q14" s="29">
        <f>3.2</f>
        <v>3.2</v>
      </c>
      <c r="R14" s="43">
        <v>118.3</v>
      </c>
      <c r="S14" s="32">
        <f t="shared" si="3"/>
        <v>3.6809815950920269E-2</v>
      </c>
      <c r="T14" s="54">
        <f>VLOOKUP(A14,[1]인포맥스!$A:$I,9,0)</f>
        <v>99.233530000000002</v>
      </c>
      <c r="U14" s="70">
        <f t="shared" si="4"/>
        <v>4.3894803484012916E-3</v>
      </c>
    </row>
    <row r="15" spans="1:21" x14ac:dyDescent="0.25">
      <c r="A15" s="3">
        <v>43982</v>
      </c>
      <c r="B15" s="29">
        <f>52</f>
        <v>52</v>
      </c>
      <c r="C15" s="29">
        <v>53</v>
      </c>
      <c r="D15" s="50">
        <f>43.1</f>
        <v>43.1</v>
      </c>
      <c r="E15" s="30">
        <v>43.1</v>
      </c>
      <c r="F15" s="29">
        <f>-23.8</f>
        <v>-23.8</v>
      </c>
      <c r="G15" s="31">
        <v>34855</v>
      </c>
      <c r="H15" s="51">
        <f t="shared" si="1"/>
        <v>-0.23737528443899877</v>
      </c>
      <c r="I15" s="29">
        <f>-1.8</f>
        <v>-1.8</v>
      </c>
      <c r="J15" s="31">
        <v>101.96</v>
      </c>
      <c r="K15" s="51">
        <f t="shared" si="2"/>
        <v>-1.763175643125554E-2</v>
      </c>
      <c r="L15" s="29">
        <f>-0.3</f>
        <v>-0.3</v>
      </c>
      <c r="M15" s="30">
        <v>-0.3</v>
      </c>
      <c r="N15" s="29">
        <f>9.9</f>
        <v>9.9</v>
      </c>
      <c r="O15" s="29">
        <v>3046050.5</v>
      </c>
      <c r="P15" s="51">
        <f t="shared" si="0"/>
        <v>9.9009320498060174E-2</v>
      </c>
      <c r="Q15" s="29">
        <f>2.9</f>
        <v>2.9</v>
      </c>
      <c r="R15" s="43">
        <v>117.6</v>
      </c>
      <c r="S15" s="32">
        <f t="shared" si="3"/>
        <v>3.0674846625766871E-2</v>
      </c>
      <c r="T15" s="54">
        <f>VLOOKUP(A15,[1]인포맥스!$A:$I,9,0)</f>
        <v>99.070130000000006</v>
      </c>
      <c r="U15" s="70">
        <f t="shared" si="4"/>
        <v>1.7548635149972412E-3</v>
      </c>
    </row>
    <row r="16" spans="1:21" x14ac:dyDescent="0.25">
      <c r="A16" s="3">
        <v>43951</v>
      </c>
      <c r="B16" s="29">
        <f>55</f>
        <v>55</v>
      </c>
      <c r="C16" s="29">
        <v>51</v>
      </c>
      <c r="D16" s="50">
        <f>41.7</f>
        <v>41.7</v>
      </c>
      <c r="E16" s="30">
        <v>41.7</v>
      </c>
      <c r="F16" s="29">
        <f>-25.6</f>
        <v>-25.6</v>
      </c>
      <c r="G16" s="31">
        <v>36270</v>
      </c>
      <c r="H16" s="51">
        <f t="shared" si="1"/>
        <v>-0.25647280703552611</v>
      </c>
      <c r="I16" s="29">
        <f>-1.7</f>
        <v>-1.7</v>
      </c>
      <c r="J16" s="31">
        <v>101.93</v>
      </c>
      <c r="K16" s="51">
        <f t="shared" si="2"/>
        <v>-1.6878858024691357E-2</v>
      </c>
      <c r="L16" s="29">
        <f>0.1</f>
        <v>0.1</v>
      </c>
      <c r="M16" s="30">
        <v>0.1</v>
      </c>
      <c r="N16" s="29">
        <f>9.1</f>
        <v>9.1</v>
      </c>
      <c r="O16" s="29">
        <v>3015816.4</v>
      </c>
      <c r="P16" s="51">
        <f t="shared" si="0"/>
        <v>9.1477775710824716E-2</v>
      </c>
      <c r="Q16" s="29">
        <f>3.1</f>
        <v>3.1</v>
      </c>
      <c r="R16" s="43">
        <v>117.5</v>
      </c>
      <c r="S16" s="32">
        <f t="shared" si="3"/>
        <v>3.0701754385964911E-2</v>
      </c>
      <c r="T16" s="54">
        <f>VLOOKUP(A16,[1]인포맥스!$A:$I,9,0)</f>
        <v>99.004490000000004</v>
      </c>
      <c r="U16" s="70">
        <f t="shared" si="4"/>
        <v>-1.56029179577379E-4</v>
      </c>
    </row>
    <row r="17" spans="1:21" x14ac:dyDescent="0.25">
      <c r="A17" s="3">
        <v>43921</v>
      </c>
      <c r="B17" s="29">
        <f>57</f>
        <v>57</v>
      </c>
      <c r="C17" s="29">
        <v>54</v>
      </c>
      <c r="D17" s="50">
        <f>49.7</f>
        <v>49.7</v>
      </c>
      <c r="E17" s="30">
        <v>49.7</v>
      </c>
      <c r="F17" s="29">
        <f>-1.8</f>
        <v>-1.8</v>
      </c>
      <c r="G17" s="31">
        <v>46167</v>
      </c>
      <c r="H17" s="51">
        <f t="shared" si="1"/>
        <v>-1.7786098759653639E-2</v>
      </c>
      <c r="I17" s="29">
        <f>-0.5</f>
        <v>-0.5</v>
      </c>
      <c r="J17" s="31">
        <v>102.82</v>
      </c>
      <c r="K17" s="51">
        <f t="shared" si="2"/>
        <v>-5.4169084929386949E-3</v>
      </c>
      <c r="L17" s="29">
        <f>1</f>
        <v>1</v>
      </c>
      <c r="M17" s="30">
        <v>1</v>
      </c>
      <c r="N17" s="29">
        <f>8.4</f>
        <v>8.4</v>
      </c>
      <c r="O17" s="29">
        <v>2984304.3</v>
      </c>
      <c r="P17" s="51">
        <f t="shared" si="0"/>
        <v>8.4127725268778292E-2</v>
      </c>
      <c r="Q17" s="29">
        <f>3.2</f>
        <v>3.2</v>
      </c>
      <c r="R17" s="43">
        <v>117.4</v>
      </c>
      <c r="S17" s="32">
        <f t="shared" si="3"/>
        <v>3.2541776605101165E-2</v>
      </c>
      <c r="T17" s="54">
        <f>VLOOKUP(A17,[1]인포맥스!$A:$I,9,0)</f>
        <v>98.997529999999998</v>
      </c>
      <c r="U17" s="70">
        <f t="shared" si="4"/>
        <v>-1.5330380285211744E-3</v>
      </c>
    </row>
    <row r="18" spans="1:21" x14ac:dyDescent="0.25">
      <c r="A18" s="3">
        <v>43890</v>
      </c>
      <c r="B18" s="29">
        <f>70</f>
        <v>70</v>
      </c>
      <c r="C18" s="29">
        <v>65</v>
      </c>
      <c r="D18" s="50">
        <f>50.3</f>
        <v>50.3</v>
      </c>
      <c r="E18" s="30">
        <v>50.3</v>
      </c>
      <c r="F18" s="29">
        <f>3.6</f>
        <v>3.6</v>
      </c>
      <c r="G18" s="31">
        <v>40912</v>
      </c>
      <c r="H18" s="51">
        <f t="shared" si="1"/>
        <v>3.6219036522972495E-2</v>
      </c>
      <c r="I18" s="29">
        <f>0.7</f>
        <v>0.7</v>
      </c>
      <c r="J18" s="31">
        <v>103.74</v>
      </c>
      <c r="K18" s="51">
        <f t="shared" si="2"/>
        <v>6.9889341875363897E-3</v>
      </c>
      <c r="L18" s="29">
        <f>1.1</f>
        <v>1.1000000000000001</v>
      </c>
      <c r="M18" s="30">
        <v>1.1000000000000001</v>
      </c>
      <c r="N18" s="29">
        <f>8.2</f>
        <v>8.1999999999999993</v>
      </c>
      <c r="O18" s="29">
        <v>2954603.8</v>
      </c>
      <c r="P18" s="51">
        <f t="shared" si="0"/>
        <v>8.2081445037229472E-2</v>
      </c>
      <c r="Q18" s="29">
        <f>3.8</f>
        <v>3.8</v>
      </c>
      <c r="R18" s="43">
        <v>117.7</v>
      </c>
      <c r="S18" s="32">
        <f t="shared" si="3"/>
        <v>2.884615384615382E-2</v>
      </c>
      <c r="T18" s="54">
        <f>VLOOKUP(A18,[1]인포맥스!$A:$I,9,0)</f>
        <v>99.015950000000004</v>
      </c>
      <c r="U18" s="70">
        <f t="shared" si="4"/>
        <v>-2.4401018959148125E-3</v>
      </c>
    </row>
    <row r="19" spans="1:21" x14ac:dyDescent="0.25">
      <c r="A19" s="3">
        <v>43861</v>
      </c>
      <c r="B19" s="29">
        <f>79</f>
        <v>79</v>
      </c>
      <c r="C19" s="29">
        <v>75</v>
      </c>
      <c r="D19" s="50">
        <f>51.1</f>
        <v>51.1</v>
      </c>
      <c r="E19" s="30">
        <v>51.1</v>
      </c>
      <c r="F19" s="29">
        <f>-6.6</f>
        <v>-6.6</v>
      </c>
      <c r="G19" s="31">
        <v>43103</v>
      </c>
      <c r="H19" s="51">
        <f t="shared" si="1"/>
        <v>-6.6408195975654657E-2</v>
      </c>
      <c r="I19" s="29">
        <f>1.1</f>
        <v>1.1000000000000001</v>
      </c>
      <c r="J19" s="31">
        <v>104.08</v>
      </c>
      <c r="K19" s="51">
        <f t="shared" si="2"/>
        <v>1.1270890011659509E-2</v>
      </c>
      <c r="L19" s="29">
        <f>1.5</f>
        <v>1.5</v>
      </c>
      <c r="M19" s="30">
        <v>1.5</v>
      </c>
      <c r="N19" s="29">
        <f>7.8</f>
        <v>7.8</v>
      </c>
      <c r="O19" s="29">
        <v>2929009.2</v>
      </c>
      <c r="P19" s="51">
        <f t="shared" si="0"/>
        <v>7.81409360251068E-2</v>
      </c>
      <c r="Q19" s="29">
        <f>3.8</f>
        <v>3.8</v>
      </c>
      <c r="R19" s="43">
        <v>117.5</v>
      </c>
      <c r="S19" s="32">
        <f t="shared" si="3"/>
        <v>2.889667250437826E-2</v>
      </c>
      <c r="T19" s="54">
        <f>VLOOKUP(A19,[1]인포맥스!$A:$I,9,0)</f>
        <v>99.013009999999994</v>
      </c>
      <c r="U19" s="70">
        <f t="shared" si="4"/>
        <v>-3.3503160927205763E-3</v>
      </c>
    </row>
    <row r="20" spans="1:21" x14ac:dyDescent="0.25">
      <c r="A20" s="3">
        <v>43830</v>
      </c>
      <c r="B20" s="29">
        <f>81</f>
        <v>81</v>
      </c>
      <c r="C20" s="29">
        <v>76</v>
      </c>
      <c r="D20" s="50">
        <f>47.7</f>
        <v>47.7</v>
      </c>
      <c r="E20" s="30">
        <v>47.7</v>
      </c>
      <c r="F20" s="29">
        <f>-5.3</f>
        <v>-5.3</v>
      </c>
      <c r="G20" s="31">
        <v>45668</v>
      </c>
      <c r="H20" s="51">
        <f t="shared" si="1"/>
        <v>-5.2668699566453002E-2</v>
      </c>
      <c r="I20" s="29">
        <f>0.7</f>
        <v>0.7</v>
      </c>
      <c r="J20" s="31">
        <v>103.7</v>
      </c>
      <c r="K20" s="51">
        <f t="shared" si="2"/>
        <v>6.5029603028244369E-3</v>
      </c>
      <c r="L20" s="29">
        <f>0.7</f>
        <v>0.7</v>
      </c>
      <c r="M20" s="30">
        <v>0.7</v>
      </c>
      <c r="N20" s="29">
        <f>7.9</f>
        <v>7.9</v>
      </c>
      <c r="O20" s="29">
        <v>2912434.1</v>
      </c>
      <c r="P20" s="51">
        <f t="shared" si="0"/>
        <v>7.8726320773316788E-2</v>
      </c>
      <c r="Q20" s="29">
        <f>3.5</f>
        <v>3.5</v>
      </c>
      <c r="R20" s="43">
        <v>117.1</v>
      </c>
      <c r="S20" s="32">
        <f t="shared" si="3"/>
        <v>2.71929824561403E-2</v>
      </c>
      <c r="T20" s="54">
        <f>VLOOKUP(A20,[1]인포맥스!$A:$I,9,0)</f>
        <v>98.967290000000006</v>
      </c>
      <c r="U20" s="70">
        <f t="shared" si="4"/>
        <v>-4.6035705305505822E-3</v>
      </c>
    </row>
    <row r="21" spans="1:21" x14ac:dyDescent="0.25">
      <c r="A21" s="3">
        <v>43799</v>
      </c>
      <c r="B21" s="29">
        <f>80</f>
        <v>80</v>
      </c>
      <c r="C21" s="29">
        <v>74</v>
      </c>
      <c r="D21" s="50">
        <f>48.2</f>
        <v>48.2</v>
      </c>
      <c r="E21" s="30">
        <v>48.2</v>
      </c>
      <c r="F21" s="29">
        <f>-14.5</f>
        <v>-14.5</v>
      </c>
      <c r="G21" s="31">
        <v>44041</v>
      </c>
      <c r="H21" s="51">
        <f t="shared" si="1"/>
        <v>-0.14450271950271951</v>
      </c>
      <c r="I21" s="29">
        <f>-0.1</f>
        <v>-0.1</v>
      </c>
      <c r="J21" s="31">
        <v>103.41</v>
      </c>
      <c r="K21" s="51">
        <f t="shared" si="2"/>
        <v>-1.1590843233845701E-3</v>
      </c>
      <c r="L21" s="29">
        <f>0.2</f>
        <v>0.2</v>
      </c>
      <c r="M21" s="30">
        <v>0.2</v>
      </c>
      <c r="N21" s="29">
        <f>7.7</f>
        <v>7.7</v>
      </c>
      <c r="O21" s="29">
        <v>2901465.4</v>
      </c>
      <c r="P21" s="51">
        <f t="shared" si="0"/>
        <v>7.7420182320309908E-2</v>
      </c>
      <c r="Q21" s="29">
        <f>3</f>
        <v>3</v>
      </c>
      <c r="R21" s="43">
        <v>116.3</v>
      </c>
      <c r="S21" s="32">
        <f t="shared" si="3"/>
        <v>2.0175438596491204E-2</v>
      </c>
      <c r="T21" s="54">
        <f>VLOOKUP(A21,[1]인포맥스!$A:$I,9,0)</f>
        <v>98.877799999999993</v>
      </c>
      <c r="U21" s="70">
        <f t="shared" si="4"/>
        <v>-6.2541651972375769E-3</v>
      </c>
    </row>
    <row r="22" spans="1:21" x14ac:dyDescent="0.25">
      <c r="A22" s="3">
        <v>43769</v>
      </c>
      <c r="B22" s="29">
        <f>77</f>
        <v>77</v>
      </c>
      <c r="C22" s="29">
        <v>73</v>
      </c>
      <c r="D22" s="50">
        <f>48.3</f>
        <v>48.3</v>
      </c>
      <c r="E22" s="30">
        <v>48.3</v>
      </c>
      <c r="F22" s="29">
        <f>-15</f>
        <v>-15</v>
      </c>
      <c r="G22" s="31">
        <v>46649</v>
      </c>
      <c r="H22" s="51">
        <f t="shared" si="1"/>
        <v>-0.14967189208895371</v>
      </c>
      <c r="I22" s="29">
        <f>-0.7</f>
        <v>-0.7</v>
      </c>
      <c r="J22" s="31">
        <v>103.56</v>
      </c>
      <c r="K22" s="51">
        <f t="shared" si="2"/>
        <v>-6.7139842700940228E-3</v>
      </c>
      <c r="L22" s="29">
        <f>0</f>
        <v>0</v>
      </c>
      <c r="M22" s="30">
        <v>0</v>
      </c>
      <c r="N22" s="29">
        <f>7.5</f>
        <v>7.5</v>
      </c>
      <c r="O22" s="29">
        <v>2874176.1</v>
      </c>
      <c r="P22" s="51">
        <f t="shared" si="0"/>
        <v>7.4656614220230941E-2</v>
      </c>
      <c r="Q22" s="29">
        <f>2.4</f>
        <v>2.4</v>
      </c>
      <c r="R22" s="43">
        <v>115.6</v>
      </c>
      <c r="S22" s="32">
        <f t="shared" si="3"/>
        <v>1.4925373134328257E-2</v>
      </c>
      <c r="T22" s="54">
        <f>VLOOKUP(A22,[1]인포맥스!$A:$I,9,0)</f>
        <v>98.780140000000003</v>
      </c>
      <c r="U22" s="70">
        <f t="shared" si="4"/>
        <v>-7.9892005747990383E-3</v>
      </c>
    </row>
    <row r="23" spans="1:21" x14ac:dyDescent="0.25">
      <c r="A23" s="3">
        <v>43738</v>
      </c>
      <c r="B23" s="29">
        <f>76</f>
        <v>76</v>
      </c>
      <c r="C23" s="29">
        <v>72</v>
      </c>
      <c r="D23" s="50">
        <f>48.3</f>
        <v>48.3</v>
      </c>
      <c r="E23" s="30">
        <v>48.3</v>
      </c>
      <c r="F23" s="29">
        <f>-11.9</f>
        <v>-11.9</v>
      </c>
      <c r="G23" s="31">
        <v>44629</v>
      </c>
      <c r="H23" s="51">
        <f t="shared" si="1"/>
        <v>-0.11887462981243831</v>
      </c>
      <c r="I23" s="29">
        <f>-0.8</f>
        <v>-0.8</v>
      </c>
      <c r="J23" s="31">
        <v>103.8</v>
      </c>
      <c r="K23" s="51">
        <f t="shared" si="2"/>
        <v>-7.8378895048748544E-3</v>
      </c>
      <c r="L23" s="29">
        <f>-0.4</f>
        <v>-0.4</v>
      </c>
      <c r="M23" s="30">
        <v>-0.4</v>
      </c>
      <c r="N23" s="29">
        <f>7.6</f>
        <v>7.6</v>
      </c>
      <c r="O23" s="29">
        <v>2853272</v>
      </c>
      <c r="P23" s="51">
        <f t="shared" si="0"/>
        <v>7.5558003256522899E-2</v>
      </c>
      <c r="Q23" s="29">
        <f>2</f>
        <v>2</v>
      </c>
      <c r="R23" s="43">
        <v>114.9</v>
      </c>
      <c r="S23" s="32">
        <f t="shared" si="3"/>
        <v>9.6660808435853132E-3</v>
      </c>
      <c r="T23" s="54">
        <f>VLOOKUP(A23,[1]인포맥스!$A:$I,9,0)</f>
        <v>98.713239999999999</v>
      </c>
      <c r="U23" s="70">
        <f t="shared" si="4"/>
        <v>-9.3756491633005829E-3</v>
      </c>
    </row>
    <row r="24" spans="1:21" x14ac:dyDescent="0.25">
      <c r="A24" s="3">
        <v>43708</v>
      </c>
      <c r="B24" s="29">
        <f>77</f>
        <v>77</v>
      </c>
      <c r="C24" s="29">
        <v>69</v>
      </c>
      <c r="D24" s="50">
        <f>48.4</f>
        <v>48.4</v>
      </c>
      <c r="E24" s="30">
        <v>48.4</v>
      </c>
      <c r="F24" s="29">
        <f>-14</f>
        <v>-14</v>
      </c>
      <c r="G24" s="31">
        <v>44020</v>
      </c>
      <c r="H24" s="51">
        <f t="shared" si="1"/>
        <v>-0.13989839781164518</v>
      </c>
      <c r="I24" s="29">
        <f>-0.6</f>
        <v>-0.6</v>
      </c>
      <c r="J24" s="31">
        <v>103.74</v>
      </c>
      <c r="K24" s="51">
        <f t="shared" si="2"/>
        <v>-5.5598159509202298E-3</v>
      </c>
      <c r="L24" s="29">
        <f>0</f>
        <v>0</v>
      </c>
      <c r="M24" s="30">
        <v>0</v>
      </c>
      <c r="N24" s="29">
        <f>6.8</f>
        <v>6.8</v>
      </c>
      <c r="O24" s="29">
        <v>2832566.1</v>
      </c>
      <c r="P24" s="51">
        <f t="shared" si="0"/>
        <v>6.8286806647127135E-2</v>
      </c>
      <c r="Q24" s="29">
        <f>1.8</f>
        <v>1.8</v>
      </c>
      <c r="R24" s="43">
        <v>114.4</v>
      </c>
      <c r="S24" s="32">
        <f t="shared" si="3"/>
        <v>7.0422535211268613E-3</v>
      </c>
      <c r="T24" s="54">
        <f>VLOOKUP(A24,[1]인포맥스!$A:$I,9,0)</f>
        <v>98.69717</v>
      </c>
      <c r="U24" s="70">
        <f t="shared" si="4"/>
        <v>-1.0166195554445617E-2</v>
      </c>
    </row>
    <row r="25" spans="1:21" x14ac:dyDescent="0.25">
      <c r="A25" s="3">
        <v>43677</v>
      </c>
      <c r="B25" s="29">
        <f>77</f>
        <v>77</v>
      </c>
      <c r="C25" s="29">
        <v>73</v>
      </c>
      <c r="D25" s="50">
        <f>51</f>
        <v>51</v>
      </c>
      <c r="E25" s="30">
        <v>51</v>
      </c>
      <c r="F25" s="29">
        <f>-11.1</f>
        <v>-11.1</v>
      </c>
      <c r="G25" s="31">
        <v>46078</v>
      </c>
      <c r="H25" s="51">
        <f t="shared" si="1"/>
        <v>-0.11063501254584057</v>
      </c>
      <c r="I25" s="29">
        <f>-0.3</f>
        <v>-0.3</v>
      </c>
      <c r="J25" s="31">
        <v>103.5</v>
      </c>
      <c r="K25" s="51">
        <f t="shared" si="2"/>
        <v>-3.3702455464611875E-3</v>
      </c>
      <c r="L25" s="29">
        <f>0.6</f>
        <v>0.6</v>
      </c>
      <c r="M25" s="30">
        <v>0.6</v>
      </c>
      <c r="N25" s="29">
        <f>6.6</f>
        <v>6.6</v>
      </c>
      <c r="O25" s="29">
        <v>2811543.7</v>
      </c>
      <c r="P25" s="51">
        <f t="shared" si="0"/>
        <v>6.6019739428862079E-2</v>
      </c>
      <c r="Q25" s="29">
        <f>1.7</f>
        <v>1.7</v>
      </c>
      <c r="R25" s="43">
        <v>114.1</v>
      </c>
      <c r="S25" s="32">
        <f t="shared" si="3"/>
        <v>3.5180299032541028E-3</v>
      </c>
      <c r="T25" s="54">
        <f>VLOOKUP(A25,[1]인포맥스!$A:$I,9,0)</f>
        <v>98.728030000000004</v>
      </c>
      <c r="U25" s="70">
        <f t="shared" si="4"/>
        <v>-1.0503128057160738E-2</v>
      </c>
    </row>
    <row r="26" spans="1:21" x14ac:dyDescent="0.25">
      <c r="A26" s="3">
        <v>43646</v>
      </c>
      <c r="B26" s="29">
        <f>79</f>
        <v>79</v>
      </c>
      <c r="C26" s="29">
        <v>74</v>
      </c>
      <c r="D26" s="50">
        <f>51.3</f>
        <v>51.3</v>
      </c>
      <c r="E26" s="30">
        <v>51.3</v>
      </c>
      <c r="F26" s="29">
        <f>-13.8</f>
        <v>-13.8</v>
      </c>
      <c r="G26" s="31">
        <v>44008</v>
      </c>
      <c r="H26" s="51">
        <f t="shared" si="1"/>
        <v>-0.13843262397462755</v>
      </c>
      <c r="I26" s="29">
        <f>0.1</f>
        <v>0.1</v>
      </c>
      <c r="J26" s="31">
        <v>103.5</v>
      </c>
      <c r="K26" s="51">
        <f t="shared" si="2"/>
        <v>1.2576182644867509E-3</v>
      </c>
      <c r="L26" s="29">
        <f>0.7</f>
        <v>0.7</v>
      </c>
      <c r="M26" s="30">
        <v>0.7</v>
      </c>
      <c r="N26" s="29">
        <f>6.7</f>
        <v>6.7</v>
      </c>
      <c r="O26" s="29">
        <v>2799248</v>
      </c>
      <c r="P26" s="51">
        <f t="shared" si="0"/>
        <v>6.7491072519162212E-2</v>
      </c>
      <c r="Q26" s="29">
        <f>1.9</f>
        <v>1.9</v>
      </c>
      <c r="R26" s="43">
        <v>114.1</v>
      </c>
      <c r="S26" s="32">
        <f t="shared" si="3"/>
        <v>5.2863436123347513E-3</v>
      </c>
      <c r="T26" s="54">
        <f>VLOOKUP(A26,[1]인포맥스!$A:$I,9,0)</f>
        <v>98.799850000000006</v>
      </c>
      <c r="U26" s="70">
        <f t="shared" si="4"/>
        <v>-1.0602789163039776E-2</v>
      </c>
    </row>
    <row r="27" spans="1:21" x14ac:dyDescent="0.25">
      <c r="A27" s="3">
        <v>43616</v>
      </c>
      <c r="B27" s="29">
        <f>80</f>
        <v>80</v>
      </c>
      <c r="C27" s="29">
        <v>73</v>
      </c>
      <c r="D27" s="50">
        <f>52.2</f>
        <v>52.2</v>
      </c>
      <c r="E27" s="30">
        <v>52.2</v>
      </c>
      <c r="F27" s="29">
        <f>-9.8</f>
        <v>-9.8000000000000007</v>
      </c>
      <c r="G27" s="31">
        <v>45704</v>
      </c>
      <c r="H27" s="51">
        <f t="shared" si="1"/>
        <v>-9.8327020202020207E-2</v>
      </c>
      <c r="I27" s="29">
        <f>0.4</f>
        <v>0.4</v>
      </c>
      <c r="J27" s="31">
        <v>103.79</v>
      </c>
      <c r="K27" s="51">
        <f t="shared" si="2"/>
        <v>4.3545577704664487E-3</v>
      </c>
      <c r="L27" s="29">
        <f>0.7</f>
        <v>0.7</v>
      </c>
      <c r="M27" s="30">
        <v>0.7</v>
      </c>
      <c r="N27" s="29">
        <f>6.6</f>
        <v>6.6</v>
      </c>
      <c r="O27" s="29">
        <v>2771633</v>
      </c>
      <c r="P27" s="51">
        <f t="shared" si="0"/>
        <v>6.5900239832390073E-2</v>
      </c>
      <c r="Q27" s="29">
        <f>1.9</f>
        <v>1.9</v>
      </c>
      <c r="R27" s="43">
        <v>114.1</v>
      </c>
      <c r="S27" s="32">
        <f t="shared" si="3"/>
        <v>7.9505300353356137E-3</v>
      </c>
      <c r="T27" s="54">
        <f>VLOOKUP(A27,[1]인포맥스!$A:$I,9,0)</f>
        <v>98.89658</v>
      </c>
      <c r="U27" s="70">
        <f t="shared" si="4"/>
        <v>-1.0663792523920917E-2</v>
      </c>
    </row>
    <row r="28" spans="1:21" x14ac:dyDescent="0.25">
      <c r="A28" s="3">
        <v>43585</v>
      </c>
      <c r="B28" s="29">
        <f>81</f>
        <v>81</v>
      </c>
      <c r="C28" s="29">
        <v>74</v>
      </c>
      <c r="D28" s="50">
        <f>53.6</f>
        <v>53.6</v>
      </c>
      <c r="E28" s="30">
        <v>53.6</v>
      </c>
      <c r="F28" s="29">
        <f>-2.1</f>
        <v>-2.1</v>
      </c>
      <c r="G28" s="31">
        <v>48781</v>
      </c>
      <c r="H28" s="51">
        <f t="shared" si="1"/>
        <v>-2.1444332998996989E-2</v>
      </c>
      <c r="I28" s="29">
        <f>0.6</f>
        <v>0.6</v>
      </c>
      <c r="J28" s="31">
        <v>103.68</v>
      </c>
      <c r="K28" s="51">
        <f t="shared" si="2"/>
        <v>6.2111801242236073E-3</v>
      </c>
      <c r="L28" s="29">
        <f>0.6</f>
        <v>0.6</v>
      </c>
      <c r="M28" s="30">
        <v>0.6</v>
      </c>
      <c r="N28" s="29">
        <f>6.6</f>
        <v>6.6</v>
      </c>
      <c r="O28" s="29">
        <v>2763058</v>
      </c>
      <c r="P28" s="51">
        <f t="shared" si="0"/>
        <v>6.6471589704453771E-2</v>
      </c>
      <c r="Q28" s="29">
        <f>1.9</f>
        <v>1.9</v>
      </c>
      <c r="R28" s="43">
        <v>114</v>
      </c>
      <c r="S28" s="32">
        <f t="shared" si="3"/>
        <v>1.1535048802129522E-2</v>
      </c>
      <c r="T28" s="54">
        <f>VLOOKUP(A28,[1]인포맥스!$A:$I,9,0)</f>
        <v>99.019940000000005</v>
      </c>
      <c r="U28" s="70">
        <f t="shared" si="4"/>
        <v>-1.0574330873257013E-2</v>
      </c>
    </row>
    <row r="29" spans="1:21" x14ac:dyDescent="0.25">
      <c r="A29" s="3">
        <v>43555</v>
      </c>
      <c r="B29" s="29">
        <f>79</f>
        <v>79</v>
      </c>
      <c r="C29" s="29">
        <v>73</v>
      </c>
      <c r="D29" s="50">
        <f>55.3</f>
        <v>55.3</v>
      </c>
      <c r="E29" s="30">
        <v>55.3</v>
      </c>
      <c r="F29" s="29">
        <f>-8.4</f>
        <v>-8.4</v>
      </c>
      <c r="G29" s="31">
        <v>47003</v>
      </c>
      <c r="H29" s="51">
        <f t="shared" si="1"/>
        <v>-8.3940752290001946E-2</v>
      </c>
      <c r="I29" s="29">
        <f>0.5</f>
        <v>0.5</v>
      </c>
      <c r="J29" s="31">
        <v>103.38</v>
      </c>
      <c r="K29" s="51">
        <f t="shared" si="2"/>
        <v>4.5670974638033126E-3</v>
      </c>
      <c r="L29" s="29">
        <f>0.4</f>
        <v>0.4</v>
      </c>
      <c r="M29" s="30">
        <v>0.4</v>
      </c>
      <c r="N29" s="29">
        <f>6.8</f>
        <v>6.8</v>
      </c>
      <c r="O29" s="29">
        <v>2752723.9</v>
      </c>
      <c r="P29" s="51">
        <f t="shared" si="0"/>
        <v>6.7625148650588954E-2</v>
      </c>
      <c r="Q29" s="29">
        <f>1.8</f>
        <v>1.8</v>
      </c>
      <c r="R29" s="43">
        <v>113.7</v>
      </c>
      <c r="S29" s="32">
        <f t="shared" si="3"/>
        <v>8.8731144631765749E-3</v>
      </c>
      <c r="T29" s="54">
        <f>VLOOKUP(A29,[1]인포맥스!$A:$I,9,0)</f>
        <v>99.149529999999999</v>
      </c>
      <c r="U29" s="70">
        <f t="shared" si="4"/>
        <v>-1.0648624430858374E-2</v>
      </c>
    </row>
    <row r="30" spans="1:21" x14ac:dyDescent="0.25">
      <c r="A30" s="3">
        <v>43524</v>
      </c>
      <c r="B30" s="29">
        <f>78</f>
        <v>78</v>
      </c>
      <c r="C30" s="29">
        <v>69</v>
      </c>
      <c r="D30" s="50">
        <f>54.2</f>
        <v>54.2</v>
      </c>
      <c r="E30" s="30">
        <v>54.2</v>
      </c>
      <c r="F30" s="29">
        <f>-11.3</f>
        <v>-11.3</v>
      </c>
      <c r="G30" s="31">
        <v>39482</v>
      </c>
      <c r="H30" s="51">
        <f t="shared" si="1"/>
        <v>-0.11324229628964154</v>
      </c>
      <c r="I30" s="29">
        <f>0.1</f>
        <v>0.1</v>
      </c>
      <c r="J30" s="31">
        <v>103.02</v>
      </c>
      <c r="K30" s="51">
        <f t="shared" si="2"/>
        <v>6.7994171928113822E-4</v>
      </c>
      <c r="L30" s="29">
        <f>0.5</f>
        <v>0.5</v>
      </c>
      <c r="M30" s="30">
        <v>0.5</v>
      </c>
      <c r="N30" s="29">
        <f>6.2</f>
        <v>6.2</v>
      </c>
      <c r="O30" s="29">
        <v>2730481.9</v>
      </c>
      <c r="P30" s="51">
        <f t="shared" si="0"/>
        <v>6.2128325557306886E-2</v>
      </c>
      <c r="Q30" s="29">
        <f>1.7</f>
        <v>1.7</v>
      </c>
      <c r="R30" s="43">
        <v>114.4</v>
      </c>
      <c r="S30" s="32">
        <f t="shared" si="3"/>
        <v>1.6888888888888939E-2</v>
      </c>
      <c r="T30" s="54">
        <f>VLOOKUP(A30,[1]인포맥스!$A:$I,9,0)</f>
        <v>99.258150000000001</v>
      </c>
      <c r="U30" s="70">
        <f t="shared" si="4"/>
        <v>-1.1225282661752298E-2</v>
      </c>
    </row>
    <row r="31" spans="1:21" x14ac:dyDescent="0.25">
      <c r="A31" s="3">
        <v>43496</v>
      </c>
      <c r="B31" s="29">
        <f>80</f>
        <v>80</v>
      </c>
      <c r="C31" s="29">
        <v>69</v>
      </c>
      <c r="D31" s="50">
        <f>55.7</f>
        <v>55.7</v>
      </c>
      <c r="E31" s="30">
        <v>55.7</v>
      </c>
      <c r="F31" s="29">
        <f>-6.2</f>
        <v>-6.2</v>
      </c>
      <c r="G31" s="31">
        <v>46169</v>
      </c>
      <c r="H31" s="51">
        <f t="shared" si="1"/>
        <v>-6.2006054326405394E-2</v>
      </c>
      <c r="I31" s="29">
        <f>0.4</f>
        <v>0.4</v>
      </c>
      <c r="J31" s="31">
        <v>102.92</v>
      </c>
      <c r="K31" s="51">
        <f t="shared" si="2"/>
        <v>3.9016777214202665E-3</v>
      </c>
      <c r="L31" s="29">
        <f>0.8</f>
        <v>0.8</v>
      </c>
      <c r="M31" s="30">
        <v>0.8</v>
      </c>
      <c r="N31" s="29">
        <f>6.5</f>
        <v>6.5</v>
      </c>
      <c r="O31" s="29">
        <v>2716722</v>
      </c>
      <c r="P31" s="51">
        <f t="shared" si="0"/>
        <v>6.4881726061031764E-2</v>
      </c>
      <c r="Q31" s="29">
        <f>1.8</f>
        <v>1.8</v>
      </c>
      <c r="R31" s="43">
        <v>114.2</v>
      </c>
      <c r="S31" s="32">
        <f t="shared" si="3"/>
        <v>2.2381378692927483E-2</v>
      </c>
      <c r="T31" s="54">
        <f>VLOOKUP(A31,[1]인포맥스!$A:$I,9,0)</f>
        <v>99.345849999999999</v>
      </c>
      <c r="U31" s="70">
        <f t="shared" si="4"/>
        <v>-1.223988808563394E-2</v>
      </c>
    </row>
    <row r="32" spans="1:21" x14ac:dyDescent="0.25">
      <c r="A32" s="3">
        <v>43465</v>
      </c>
      <c r="B32" s="29">
        <f>81</f>
        <v>81</v>
      </c>
      <c r="C32" s="29">
        <v>72</v>
      </c>
      <c r="D32" s="50">
        <f>54.8</f>
        <v>54.8</v>
      </c>
      <c r="E32" s="30">
        <v>54.8</v>
      </c>
      <c r="F32" s="29">
        <f>-1.7</f>
        <v>-1.7</v>
      </c>
      <c r="G32" s="31">
        <v>48207</v>
      </c>
      <c r="H32" s="51">
        <f t="shared" si="1"/>
        <v>-1.6986133768352365E-2</v>
      </c>
      <c r="I32" s="29">
        <f>0.9</f>
        <v>0.9</v>
      </c>
      <c r="J32" s="31">
        <v>103.03</v>
      </c>
      <c r="K32" s="51">
        <f t="shared" si="2"/>
        <v>9.2075619551376005E-3</v>
      </c>
      <c r="L32" s="29">
        <f>1.3</f>
        <v>1.3</v>
      </c>
      <c r="M32" s="30">
        <v>1.3</v>
      </c>
      <c r="N32" s="29">
        <f>6.8</f>
        <v>6.8</v>
      </c>
      <c r="O32" s="29">
        <v>2699882.3</v>
      </c>
      <c r="P32" s="51">
        <f t="shared" si="0"/>
        <v>6.8142975824932131E-2</v>
      </c>
      <c r="Q32" s="29">
        <f>1.8</f>
        <v>1.8</v>
      </c>
      <c r="R32" s="43">
        <v>114</v>
      </c>
      <c r="S32" s="32">
        <f t="shared" si="3"/>
        <v>2.3339317773788098E-2</v>
      </c>
      <c r="T32" s="54">
        <f>VLOOKUP(A32,[1]인포맥스!$A:$I,9,0)</f>
        <v>99.424999999999997</v>
      </c>
      <c r="U32" s="70">
        <f t="shared" si="4"/>
        <v>-1.3635001795645692E-2</v>
      </c>
    </row>
    <row r="33" spans="1:21" x14ac:dyDescent="0.25">
      <c r="A33" s="3">
        <v>43434</v>
      </c>
      <c r="B33" s="29">
        <f>83</f>
        <v>83</v>
      </c>
      <c r="C33" s="29">
        <v>74</v>
      </c>
      <c r="D33" s="50">
        <f>58.7</f>
        <v>58.7</v>
      </c>
      <c r="E33" s="30">
        <v>58.7</v>
      </c>
      <c r="F33" s="29">
        <f>3.6</f>
        <v>3.6</v>
      </c>
      <c r="G33" s="31">
        <v>51480</v>
      </c>
      <c r="H33" s="51">
        <f t="shared" si="1"/>
        <v>3.5669020459894986E-2</v>
      </c>
      <c r="I33" s="29">
        <f>1.5</f>
        <v>1.5</v>
      </c>
      <c r="J33" s="31">
        <v>103.53</v>
      </c>
      <c r="K33" s="51">
        <f t="shared" si="2"/>
        <v>1.4602116816934484E-2</v>
      </c>
      <c r="L33" s="29">
        <f>2</f>
        <v>2</v>
      </c>
      <c r="M33" s="30">
        <v>2</v>
      </c>
      <c r="N33" s="29">
        <f>6.8</f>
        <v>6.8</v>
      </c>
      <c r="O33" s="29">
        <v>2692974.8</v>
      </c>
      <c r="P33" s="51">
        <f t="shared" si="0"/>
        <v>6.788382504893456E-2</v>
      </c>
      <c r="Q33" s="29">
        <f>2</f>
        <v>2</v>
      </c>
      <c r="R33" s="43">
        <v>114</v>
      </c>
      <c r="S33" s="32">
        <f t="shared" si="3"/>
        <v>2.5179856115107889E-2</v>
      </c>
      <c r="T33" s="54">
        <f>VLOOKUP(A33,[1]인포맥스!$A:$I,9,0)</f>
        <v>99.50009</v>
      </c>
      <c r="U33" s="70">
        <f t="shared" si="4"/>
        <v>-1.5214282250218501E-2</v>
      </c>
    </row>
    <row r="34" spans="1:21" x14ac:dyDescent="0.25">
      <c r="A34" s="3">
        <v>43404</v>
      </c>
      <c r="B34" s="29">
        <f>80</f>
        <v>80</v>
      </c>
      <c r="C34" s="29">
        <v>73</v>
      </c>
      <c r="D34" s="50">
        <f>58.3</f>
        <v>58.3</v>
      </c>
      <c r="E34" s="30">
        <v>58.3</v>
      </c>
      <c r="F34" s="29">
        <f>22.5</f>
        <v>22.5</v>
      </c>
      <c r="G34" s="31">
        <v>54860</v>
      </c>
      <c r="H34" s="51">
        <f t="shared" si="1"/>
        <v>0.22479962492465005</v>
      </c>
      <c r="I34" s="29">
        <f>2.1</f>
        <v>2.1</v>
      </c>
      <c r="J34" s="31">
        <v>104.26</v>
      </c>
      <c r="K34" s="51">
        <f t="shared" si="2"/>
        <v>2.0755825337771729E-2</v>
      </c>
      <c r="L34" s="29">
        <f>2</f>
        <v>2</v>
      </c>
      <c r="M34" s="30">
        <v>2</v>
      </c>
      <c r="N34" s="29">
        <f>6.8</f>
        <v>6.8</v>
      </c>
      <c r="O34" s="29">
        <v>2674506.5</v>
      </c>
      <c r="P34" s="51">
        <f t="shared" si="0"/>
        <v>6.7840251326941423E-2</v>
      </c>
      <c r="Q34" s="29">
        <f>2.3</f>
        <v>2.2999999999999998</v>
      </c>
      <c r="R34" s="43">
        <v>113.9</v>
      </c>
      <c r="S34" s="32">
        <f t="shared" si="3"/>
        <v>2.7978339350180584E-2</v>
      </c>
      <c r="T34" s="54">
        <f>VLOOKUP(A34,[1]인포맥스!$A:$I,9,0)</f>
        <v>99.575670000000002</v>
      </c>
      <c r="U34" s="70">
        <f t="shared" si="4"/>
        <v>-1.6518137130474463E-2</v>
      </c>
    </row>
    <row r="35" spans="1:21" x14ac:dyDescent="0.25">
      <c r="A35" s="3">
        <v>43373</v>
      </c>
      <c r="B35" s="29">
        <f>81</f>
        <v>81</v>
      </c>
      <c r="C35" s="29">
        <v>75</v>
      </c>
      <c r="D35" s="50">
        <f>59.5</f>
        <v>59.5</v>
      </c>
      <c r="E35" s="30">
        <v>59.5</v>
      </c>
      <c r="F35" s="29">
        <f>-8.1</f>
        <v>-8.1</v>
      </c>
      <c r="G35" s="31">
        <v>50650</v>
      </c>
      <c r="H35" s="51">
        <f t="shared" si="1"/>
        <v>-8.1012428558468658E-2</v>
      </c>
      <c r="I35" s="29">
        <f>2.5</f>
        <v>2.5</v>
      </c>
      <c r="J35" s="31">
        <v>104.62</v>
      </c>
      <c r="K35" s="51">
        <f t="shared" si="2"/>
        <v>2.538469077722242E-2</v>
      </c>
      <c r="L35" s="29">
        <f>2.1</f>
        <v>2.1</v>
      </c>
      <c r="M35" s="30">
        <v>2.1</v>
      </c>
      <c r="N35" s="29">
        <f>6.4</f>
        <v>6.4</v>
      </c>
      <c r="O35" s="29">
        <v>2652829.5</v>
      </c>
      <c r="P35" s="51">
        <f t="shared" si="0"/>
        <v>6.4372516287791684E-2</v>
      </c>
      <c r="Q35" s="29">
        <f>2.5</f>
        <v>2.5</v>
      </c>
      <c r="R35" s="43">
        <v>113.8</v>
      </c>
      <c r="S35" s="32">
        <f t="shared" si="3"/>
        <v>3.0797101449275284E-2</v>
      </c>
      <c r="T35" s="54">
        <f>VLOOKUP(A35,[1]인포맥스!$A:$I,9,0)</f>
        <v>99.647499999999994</v>
      </c>
      <c r="U35" s="70">
        <f t="shared" si="4"/>
        <v>-1.7466172478699728E-2</v>
      </c>
    </row>
    <row r="36" spans="1:21" x14ac:dyDescent="0.25">
      <c r="A36" s="3">
        <v>43343</v>
      </c>
      <c r="B36" s="29">
        <f>82</f>
        <v>82</v>
      </c>
      <c r="C36" s="29">
        <v>74</v>
      </c>
      <c r="D36" s="50">
        <f>60.4</f>
        <v>60.4</v>
      </c>
      <c r="E36" s="30">
        <v>60.4</v>
      </c>
      <c r="F36" s="29">
        <f>8.7</f>
        <v>8.6999999999999993</v>
      </c>
      <c r="G36" s="31">
        <v>51180</v>
      </c>
      <c r="H36" s="51">
        <f t="shared" si="1"/>
        <v>8.6485797987517515E-2</v>
      </c>
      <c r="I36" s="29">
        <f>2.9</f>
        <v>2.9</v>
      </c>
      <c r="J36" s="31">
        <v>104.32</v>
      </c>
      <c r="K36" s="51">
        <f t="shared" si="2"/>
        <v>2.9304390725209659E-2</v>
      </c>
      <c r="L36" s="29">
        <f>1.4</f>
        <v>1.4</v>
      </c>
      <c r="M36" s="30">
        <v>1.4</v>
      </c>
      <c r="N36" s="29">
        <f>6.7</f>
        <v>6.7</v>
      </c>
      <c r="O36" s="29">
        <v>2651503.4</v>
      </c>
      <c r="P36" s="51">
        <f t="shared" si="0"/>
        <v>6.6732983860549794E-2</v>
      </c>
      <c r="Q36" s="29">
        <f>2.7</f>
        <v>2.7</v>
      </c>
      <c r="R36" s="43">
        <v>113.6</v>
      </c>
      <c r="S36" s="32">
        <f t="shared" si="3"/>
        <v>2.9918404351767881E-2</v>
      </c>
      <c r="T36" s="54">
        <f>VLOOKUP(A36,[1]인포맥스!$A:$I,9,0)</f>
        <v>99.710849999999994</v>
      </c>
      <c r="U36" s="70">
        <f t="shared" si="4"/>
        <v>-1.8185228692654556E-2</v>
      </c>
    </row>
    <row r="37" spans="1:21" x14ac:dyDescent="0.25">
      <c r="A37" s="3">
        <v>43312</v>
      </c>
      <c r="B37" s="29">
        <f>83</f>
        <v>83</v>
      </c>
      <c r="C37" s="29">
        <v>75</v>
      </c>
      <c r="D37" s="50">
        <f>58</f>
        <v>58</v>
      </c>
      <c r="E37" s="30">
        <v>58</v>
      </c>
      <c r="F37" s="29">
        <f>6.1</f>
        <v>6.1</v>
      </c>
      <c r="G37" s="31">
        <v>51810</v>
      </c>
      <c r="H37" s="51">
        <f t="shared" si="1"/>
        <v>6.1028056522629534E-2</v>
      </c>
      <c r="I37" s="29">
        <f>2.9</f>
        <v>2.9</v>
      </c>
      <c r="J37" s="31">
        <v>103.85</v>
      </c>
      <c r="K37" s="51">
        <f t="shared" si="2"/>
        <v>2.933888393299627E-2</v>
      </c>
      <c r="L37" s="29">
        <f>1.1</f>
        <v>1.1000000000000001</v>
      </c>
      <c r="M37" s="30">
        <v>1.1000000000000001</v>
      </c>
      <c r="N37" s="29">
        <f>6.7</f>
        <v>6.7</v>
      </c>
      <c r="O37" s="29">
        <v>2637421.7999999998</v>
      </c>
      <c r="P37" s="51">
        <f t="shared" si="0"/>
        <v>6.6870557237249564E-2</v>
      </c>
      <c r="Q37" s="29">
        <f>3.2</f>
        <v>3.2</v>
      </c>
      <c r="R37" s="43">
        <v>113.7</v>
      </c>
      <c r="S37" s="32">
        <f t="shared" si="3"/>
        <v>3.4576888080072768E-2</v>
      </c>
      <c r="T37" s="54">
        <f>VLOOKUP(A37,[1]인포맥스!$A:$I,9,0)</f>
        <v>99.775989999999993</v>
      </c>
      <c r="U37" s="70">
        <f t="shared" si="4"/>
        <v>-1.8604863894558347E-2</v>
      </c>
    </row>
    <row r="38" spans="1:21" x14ac:dyDescent="0.25">
      <c r="A38" s="3">
        <v>43281</v>
      </c>
      <c r="B38" s="29">
        <f>87</f>
        <v>87</v>
      </c>
      <c r="C38" s="29">
        <v>80</v>
      </c>
      <c r="D38" s="50">
        <f>59.7</f>
        <v>59.7</v>
      </c>
      <c r="E38" s="30">
        <v>59.7</v>
      </c>
      <c r="F38" s="29">
        <f>-0.4</f>
        <v>-0.4</v>
      </c>
      <c r="G38" s="31">
        <v>51079</v>
      </c>
      <c r="H38" s="51">
        <f t="shared" si="1"/>
        <v>-3.7642377906069589E-3</v>
      </c>
      <c r="I38" s="29">
        <f>2.5</f>
        <v>2.5</v>
      </c>
      <c r="J38" s="31">
        <v>103.37</v>
      </c>
      <c r="K38" s="51">
        <f t="shared" si="2"/>
        <v>2.5394306120424582E-2</v>
      </c>
      <c r="L38" s="29">
        <f>1.5</f>
        <v>1.5</v>
      </c>
      <c r="M38" s="30">
        <v>1.5</v>
      </c>
      <c r="N38" s="29">
        <f>6.1</f>
        <v>6.1</v>
      </c>
      <c r="O38" s="29">
        <v>2622268.2999999998</v>
      </c>
      <c r="P38" s="51">
        <f t="shared" si="0"/>
        <v>6.127709890288844E-2</v>
      </c>
      <c r="Q38" s="29">
        <f>3.3</f>
        <v>3.3</v>
      </c>
      <c r="R38" s="43">
        <v>113.5</v>
      </c>
      <c r="S38" s="32">
        <f t="shared" si="3"/>
        <v>3.7477148080438706E-2</v>
      </c>
      <c r="T38" s="54">
        <f>VLOOKUP(A38,[1]인포맥스!$A:$I,9,0)</f>
        <v>99.858630000000005</v>
      </c>
      <c r="U38" s="70">
        <f t="shared" si="4"/>
        <v>-1.8587438415172807E-2</v>
      </c>
    </row>
    <row r="39" spans="1:21" x14ac:dyDescent="0.25">
      <c r="A39" s="3">
        <v>43251</v>
      </c>
      <c r="B39" s="29">
        <f>87</f>
        <v>87</v>
      </c>
      <c r="C39" s="29">
        <v>81</v>
      </c>
      <c r="D39" s="50">
        <f>58.9</f>
        <v>58.9</v>
      </c>
      <c r="E39" s="30">
        <v>58.9</v>
      </c>
      <c r="F39" s="29">
        <f>12.8</f>
        <v>12.8</v>
      </c>
      <c r="G39" s="31">
        <v>50688</v>
      </c>
      <c r="H39" s="51">
        <f t="shared" si="1"/>
        <v>0.12823024016738263</v>
      </c>
      <c r="I39" s="29">
        <f>2.1</f>
        <v>2.1</v>
      </c>
      <c r="J39" s="31">
        <v>103.34</v>
      </c>
      <c r="K39" s="51">
        <f t="shared" si="2"/>
        <v>2.1045351249876592E-2</v>
      </c>
      <c r="L39" s="29">
        <f>1.5</f>
        <v>1.5</v>
      </c>
      <c r="M39" s="30">
        <v>1.5</v>
      </c>
      <c r="N39" s="29">
        <f>5.9</f>
        <v>5.9</v>
      </c>
      <c r="O39" s="29">
        <v>2600274.2999999998</v>
      </c>
      <c r="P39" s="51">
        <f t="shared" si="0"/>
        <v>5.9439533305815098E-2</v>
      </c>
      <c r="Q39" s="29">
        <f>3.5</f>
        <v>3.5</v>
      </c>
      <c r="R39" s="43">
        <v>113.2</v>
      </c>
      <c r="S39" s="32">
        <f t="shared" si="3"/>
        <v>4.1398344066237353E-2</v>
      </c>
      <c r="T39" s="54">
        <f>VLOOKUP(A39,[1]인포맥스!$A:$I,9,0)</f>
        <v>99.962559999999996</v>
      </c>
      <c r="U39" s="70">
        <f t="shared" si="4"/>
        <v>-1.8094842379575801E-2</v>
      </c>
    </row>
    <row r="40" spans="1:21" x14ac:dyDescent="0.25">
      <c r="A40" s="3">
        <v>43220</v>
      </c>
      <c r="B40" s="29">
        <f>84</f>
        <v>84</v>
      </c>
      <c r="C40" s="29">
        <v>79</v>
      </c>
      <c r="D40" s="50">
        <f>58.6</f>
        <v>58.6</v>
      </c>
      <c r="E40" s="30">
        <v>58.6</v>
      </c>
      <c r="F40" s="29">
        <f>-2</f>
        <v>-2</v>
      </c>
      <c r="G40" s="31">
        <v>49850</v>
      </c>
      <c r="H40" s="51">
        <f t="shared" si="1"/>
        <v>-1.9549996066399181E-2</v>
      </c>
      <c r="I40" s="29">
        <f>1.5</f>
        <v>1.5</v>
      </c>
      <c r="J40" s="31">
        <v>103.04</v>
      </c>
      <c r="K40" s="51">
        <f t="shared" si="2"/>
        <v>1.537248718959403E-2</v>
      </c>
      <c r="L40" s="29">
        <f>1.5</f>
        <v>1.5</v>
      </c>
      <c r="M40" s="30">
        <v>1.5</v>
      </c>
      <c r="N40" s="29">
        <f>5.7</f>
        <v>5.7</v>
      </c>
      <c r="O40" s="29">
        <v>2590840.7000000002</v>
      </c>
      <c r="P40" s="51">
        <f t="shared" si="0"/>
        <v>5.7390662205191491E-2</v>
      </c>
      <c r="Q40" s="29">
        <f>3.5</f>
        <v>3.5</v>
      </c>
      <c r="R40" s="43">
        <v>112.7</v>
      </c>
      <c r="S40" s="32">
        <f t="shared" si="3"/>
        <v>4.2553191489361784E-2</v>
      </c>
      <c r="T40" s="54">
        <f>VLOOKUP(A40,[1]인포맥스!$A:$I,9,0)</f>
        <v>100.0782</v>
      </c>
      <c r="U40" s="70">
        <f t="shared" si="4"/>
        <v>-1.721765858305151E-2</v>
      </c>
    </row>
    <row r="41" spans="1:21" x14ac:dyDescent="0.25">
      <c r="A41" s="3">
        <v>43190</v>
      </c>
      <c r="B41" s="29">
        <f>82</f>
        <v>82</v>
      </c>
      <c r="C41" s="29">
        <v>77</v>
      </c>
      <c r="D41" s="50">
        <f>59.2</f>
        <v>59.2</v>
      </c>
      <c r="E41" s="30">
        <v>59.2</v>
      </c>
      <c r="F41" s="29">
        <f>5.5</f>
        <v>5.5</v>
      </c>
      <c r="G41" s="31">
        <v>51310</v>
      </c>
      <c r="H41" s="51">
        <f t="shared" si="1"/>
        <v>5.4936469427196842E-2</v>
      </c>
      <c r="I41" s="29">
        <f>1.2</f>
        <v>1.2</v>
      </c>
      <c r="J41" s="31">
        <v>102.91</v>
      </c>
      <c r="K41" s="51">
        <f t="shared" si="2"/>
        <v>1.1897738446410951E-2</v>
      </c>
      <c r="L41" s="29">
        <f>1.2</f>
        <v>1.2</v>
      </c>
      <c r="M41" s="30">
        <v>1.2</v>
      </c>
      <c r="N41" s="29">
        <f>5.8</f>
        <v>5.8</v>
      </c>
      <c r="O41" s="29">
        <v>2578361.7999999998</v>
      </c>
      <c r="P41" s="51">
        <f t="shared" si="0"/>
        <v>5.8008784344093824E-2</v>
      </c>
      <c r="Q41" s="29">
        <f>4</f>
        <v>4</v>
      </c>
      <c r="R41" s="43">
        <v>112.7</v>
      </c>
      <c r="S41" s="32">
        <f t="shared" si="3"/>
        <v>4.7397769516728708E-2</v>
      </c>
      <c r="T41" s="54">
        <f>VLOOKUP(A41,[1]인포맥스!$A:$I,9,0)</f>
        <v>100.2167</v>
      </c>
      <c r="U41" s="70">
        <f t="shared" si="4"/>
        <v>-1.5712580966739199E-2</v>
      </c>
    </row>
    <row r="42" spans="1:21" x14ac:dyDescent="0.25">
      <c r="A42" s="3">
        <v>43159</v>
      </c>
      <c r="B42" s="29">
        <f>86</f>
        <v>86</v>
      </c>
      <c r="C42" s="29">
        <v>77</v>
      </c>
      <c r="D42" s="50">
        <f>60.8</f>
        <v>60.8</v>
      </c>
      <c r="E42" s="30">
        <v>60.8</v>
      </c>
      <c r="F42" s="29">
        <f>3.1</f>
        <v>3.1</v>
      </c>
      <c r="G42" s="31">
        <v>44524</v>
      </c>
      <c r="H42" s="51">
        <f t="shared" si="1"/>
        <v>3.1436050686867285E-2</v>
      </c>
      <c r="I42" s="29">
        <f>1.2</f>
        <v>1.2</v>
      </c>
      <c r="J42" s="31">
        <v>102.95</v>
      </c>
      <c r="K42" s="51">
        <f t="shared" si="2"/>
        <v>1.1893060743070651E-2</v>
      </c>
      <c r="L42" s="29">
        <f>1.3</f>
        <v>1.3</v>
      </c>
      <c r="M42" s="30">
        <v>1.3</v>
      </c>
      <c r="N42" s="29">
        <f>6.2</f>
        <v>6.2</v>
      </c>
      <c r="O42" s="29">
        <v>2570764.6</v>
      </c>
      <c r="P42" s="51">
        <f t="shared" si="0"/>
        <v>6.2174067391055E-2</v>
      </c>
      <c r="Q42" s="29">
        <f>4.3</f>
        <v>4.3</v>
      </c>
      <c r="R42" s="43">
        <v>112.5</v>
      </c>
      <c r="S42" s="32">
        <f t="shared" si="3"/>
        <v>4.8462255358807112E-2</v>
      </c>
      <c r="T42" s="54">
        <f>VLOOKUP(A42,[1]인포맥스!$A:$I,9,0)</f>
        <v>100.38500000000001</v>
      </c>
      <c r="U42" s="70">
        <f t="shared" si="4"/>
        <v>-1.3497643931465115E-2</v>
      </c>
    </row>
    <row r="43" spans="1:21" x14ac:dyDescent="0.25">
      <c r="A43" s="3">
        <v>43131</v>
      </c>
      <c r="B43" s="29">
        <f>87</f>
        <v>87</v>
      </c>
      <c r="C43" s="29">
        <v>78</v>
      </c>
      <c r="D43" s="50">
        <f>59.4</f>
        <v>59.4</v>
      </c>
      <c r="E43" s="30">
        <v>59.4</v>
      </c>
      <c r="F43" s="29">
        <f>22.3</f>
        <v>22.3</v>
      </c>
      <c r="G43" s="31">
        <v>49221</v>
      </c>
      <c r="H43" s="51">
        <f t="shared" si="1"/>
        <v>0.22266934942991282</v>
      </c>
      <c r="I43" s="29">
        <f>1.2</f>
        <v>1.2</v>
      </c>
      <c r="J43" s="31">
        <v>102.52</v>
      </c>
      <c r="K43" s="51">
        <f t="shared" si="2"/>
        <v>1.1544153922052311E-2</v>
      </c>
      <c r="L43" s="29">
        <f>0.8</f>
        <v>0.8</v>
      </c>
      <c r="M43" s="30">
        <v>0.8</v>
      </c>
      <c r="N43" s="29">
        <f>5.5</f>
        <v>5.5</v>
      </c>
      <c r="O43" s="29">
        <v>2551196</v>
      </c>
      <c r="P43" s="51">
        <f t="shared" si="0"/>
        <v>5.5169154071647346E-2</v>
      </c>
      <c r="Q43" s="29">
        <f>4.6</f>
        <v>4.5999999999999996</v>
      </c>
      <c r="R43" s="43">
        <v>111.7</v>
      </c>
      <c r="S43" s="32">
        <f t="shared" si="3"/>
        <v>4.5880149812734139E-2</v>
      </c>
      <c r="T43" s="54">
        <f>VLOOKUP(A43,[1]인포맥스!$A:$I,9,0)</f>
        <v>100.57689999999999</v>
      </c>
      <c r="U43" s="70">
        <f t="shared" si="4"/>
        <v>-1.0686255512067892E-2</v>
      </c>
    </row>
    <row r="44" spans="1:21" x14ac:dyDescent="0.25">
      <c r="A44" s="3">
        <v>43100</v>
      </c>
      <c r="B44" s="29">
        <f>90</f>
        <v>90</v>
      </c>
      <c r="C44" s="29">
        <v>81</v>
      </c>
      <c r="D44" s="50">
        <f>59.2</f>
        <v>59.2</v>
      </c>
      <c r="E44" s="30">
        <v>59.2</v>
      </c>
      <c r="F44" s="29">
        <f>8.8</f>
        <v>8.8000000000000007</v>
      </c>
      <c r="G44" s="31">
        <v>49040</v>
      </c>
      <c r="H44" s="51">
        <f t="shared" si="1"/>
        <v>8.8109343451152677E-2</v>
      </c>
      <c r="I44" s="29">
        <f>2.2</f>
        <v>2.2000000000000002</v>
      </c>
      <c r="J44" s="31">
        <v>102.09</v>
      </c>
      <c r="K44" s="51">
        <f t="shared" si="2"/>
        <v>2.1921921921921897E-2</v>
      </c>
      <c r="L44" s="29">
        <f>1.4</f>
        <v>1.4</v>
      </c>
      <c r="M44" s="30">
        <v>1.4</v>
      </c>
      <c r="N44" s="29">
        <f>4.7</f>
        <v>4.7</v>
      </c>
      <c r="O44" s="29">
        <v>2527641.2999999998</v>
      </c>
      <c r="P44" s="51">
        <f t="shared" si="0"/>
        <v>4.7058191930385233E-2</v>
      </c>
      <c r="Q44" s="29">
        <f>4.6</f>
        <v>4.5999999999999996</v>
      </c>
      <c r="R44" s="43">
        <v>111.4</v>
      </c>
      <c r="S44" s="32">
        <f t="shared" si="3"/>
        <v>4.6992481203007516E-2</v>
      </c>
      <c r="T44" s="54">
        <f>VLOOKUP(A44,[1]인포맥스!$A:$I,9,0)</f>
        <v>100.79940000000001</v>
      </c>
      <c r="U44" s="70">
        <f t="shared" si="4"/>
        <v>-7.3503778590546746E-3</v>
      </c>
    </row>
    <row r="45" spans="1:21" x14ac:dyDescent="0.25">
      <c r="A45" s="3">
        <v>43069</v>
      </c>
      <c r="B45" s="29">
        <f>89</f>
        <v>89</v>
      </c>
      <c r="C45" s="29">
        <v>80</v>
      </c>
      <c r="D45" s="50">
        <f>57.9</f>
        <v>57.9</v>
      </c>
      <c r="E45" s="30">
        <v>57.9</v>
      </c>
      <c r="F45" s="29">
        <f>9.7</f>
        <v>9.6999999999999993</v>
      </c>
      <c r="G45" s="31">
        <v>49707</v>
      </c>
      <c r="H45" s="51">
        <f t="shared" si="1"/>
        <v>9.7066807918956499E-2</v>
      </c>
      <c r="I45" s="29">
        <f>3</f>
        <v>3</v>
      </c>
      <c r="J45" s="31">
        <v>102.04</v>
      </c>
      <c r="K45" s="51">
        <f t="shared" si="2"/>
        <v>3.0394829849540596E-2</v>
      </c>
      <c r="L45" s="29">
        <f>1.2</f>
        <v>1.2</v>
      </c>
      <c r="M45" s="30">
        <v>1.2</v>
      </c>
      <c r="N45" s="29">
        <f>4.8</f>
        <v>4.8</v>
      </c>
      <c r="O45" s="29">
        <v>2521786.2999999998</v>
      </c>
      <c r="P45" s="51">
        <f t="shared" si="0"/>
        <v>4.7952589632576641E-2</v>
      </c>
      <c r="Q45" s="29">
        <f>4.8</f>
        <v>4.8</v>
      </c>
      <c r="R45" s="43">
        <v>111.2</v>
      </c>
      <c r="S45" s="32">
        <f t="shared" si="3"/>
        <v>5.1039697542533138E-2</v>
      </c>
      <c r="T45" s="54">
        <f>VLOOKUP(A45,[1]인포맥스!$A:$I,9,0)</f>
        <v>101.0373</v>
      </c>
      <c r="U45" s="70">
        <f t="shared" si="4"/>
        <v>-3.7773465693292365E-3</v>
      </c>
    </row>
    <row r="46" spans="1:21" x14ac:dyDescent="0.25">
      <c r="A46" s="3">
        <v>43039</v>
      </c>
      <c r="B46" s="29">
        <f>86</f>
        <v>86</v>
      </c>
      <c r="C46" s="29">
        <v>78</v>
      </c>
      <c r="D46" s="50">
        <f>58.6</f>
        <v>58.6</v>
      </c>
      <c r="E46" s="30">
        <v>58.6</v>
      </c>
      <c r="F46" s="29">
        <f>6.7</f>
        <v>6.7</v>
      </c>
      <c r="G46" s="31">
        <v>44791</v>
      </c>
      <c r="H46" s="51">
        <f t="shared" si="1"/>
        <v>6.6884215039420714E-2</v>
      </c>
      <c r="I46" s="29">
        <f>3.6</f>
        <v>3.6</v>
      </c>
      <c r="J46" s="31">
        <v>102.14</v>
      </c>
      <c r="K46" s="51">
        <f t="shared" si="2"/>
        <v>3.6007708692565137E-2</v>
      </c>
      <c r="L46" s="29">
        <f>1.8</f>
        <v>1.8</v>
      </c>
      <c r="M46" s="30">
        <v>1.8</v>
      </c>
      <c r="N46" s="29">
        <f>4.7</f>
        <v>4.7</v>
      </c>
      <c r="O46" s="29">
        <v>2504594.2000000002</v>
      </c>
      <c r="P46" s="51">
        <f t="shared" si="0"/>
        <v>4.7483140526173501E-2</v>
      </c>
      <c r="Q46" s="29">
        <f>5</f>
        <v>5</v>
      </c>
      <c r="R46" s="43">
        <v>110.8</v>
      </c>
      <c r="S46" s="32">
        <f t="shared" si="3"/>
        <v>5.1233396584440143E-2</v>
      </c>
      <c r="T46" s="54">
        <f>VLOOKUP(A46,[1]인포맥스!$A:$I,9,0)</f>
        <v>101.24809999999999</v>
      </c>
      <c r="U46" s="70">
        <f t="shared" si="4"/>
        <v>-4.4030813671668977E-4</v>
      </c>
    </row>
    <row r="47" spans="1:21" x14ac:dyDescent="0.25">
      <c r="A47" s="3">
        <v>43008</v>
      </c>
      <c r="B47" s="29">
        <f>88</f>
        <v>88</v>
      </c>
      <c r="C47" s="29">
        <v>81</v>
      </c>
      <c r="D47" s="50">
        <f>59.9</f>
        <v>59.9</v>
      </c>
      <c r="E47" s="30">
        <v>59.9</v>
      </c>
      <c r="F47" s="29">
        <f>34.9</f>
        <v>34.9</v>
      </c>
      <c r="G47" s="31">
        <v>55115</v>
      </c>
      <c r="H47" s="51">
        <f t="shared" si="1"/>
        <v>0.3493365323409881</v>
      </c>
      <c r="I47" s="29">
        <f>3.8</f>
        <v>3.8</v>
      </c>
      <c r="J47" s="31">
        <v>102.03</v>
      </c>
      <c r="K47" s="51">
        <f t="shared" si="2"/>
        <v>3.7945066124109909E-2</v>
      </c>
      <c r="L47" s="29">
        <f>2</f>
        <v>2</v>
      </c>
      <c r="M47" s="30">
        <v>2</v>
      </c>
      <c r="N47" s="29">
        <f>4.6</f>
        <v>4.5999999999999996</v>
      </c>
      <c r="O47" s="29">
        <v>2492388.2000000002</v>
      </c>
      <c r="P47" s="51">
        <f t="shared" si="0"/>
        <v>4.5885791701819667E-2</v>
      </c>
      <c r="Q47" s="29">
        <f>5.2</f>
        <v>5.2</v>
      </c>
      <c r="R47" s="43">
        <v>110.4</v>
      </c>
      <c r="S47" s="32">
        <f t="shared" si="3"/>
        <v>5.2430886558627258E-2</v>
      </c>
      <c r="T47" s="54">
        <f>VLOOKUP(A47,[1]인포맥스!$A:$I,9,0)</f>
        <v>101.41889999999999</v>
      </c>
      <c r="U47" s="70">
        <f t="shared" si="4"/>
        <v>2.592018126332639E-3</v>
      </c>
    </row>
    <row r="48" spans="1:21" x14ac:dyDescent="0.25">
      <c r="A48" s="3">
        <v>42978</v>
      </c>
      <c r="B48" s="29">
        <f>86</f>
        <v>86</v>
      </c>
      <c r="C48" s="29">
        <v>77</v>
      </c>
      <c r="D48" s="50">
        <f>58.5</f>
        <v>58.5</v>
      </c>
      <c r="E48" s="30">
        <v>58.5</v>
      </c>
      <c r="F48" s="29">
        <f>17.4</f>
        <v>17.399999999999999</v>
      </c>
      <c r="G48" s="31">
        <v>47106</v>
      </c>
      <c r="H48" s="51">
        <f t="shared" si="1"/>
        <v>0.17398130841121495</v>
      </c>
      <c r="I48" s="29">
        <f>3.3</f>
        <v>3.3</v>
      </c>
      <c r="J48" s="31">
        <v>101.35</v>
      </c>
      <c r="K48" s="51">
        <f t="shared" si="2"/>
        <v>3.3445498113592348E-2</v>
      </c>
      <c r="L48" s="29">
        <f>2.5</f>
        <v>2.5</v>
      </c>
      <c r="M48" s="30">
        <v>2.5</v>
      </c>
      <c r="N48" s="29">
        <f>4.6</f>
        <v>4.5999999999999996</v>
      </c>
      <c r="O48" s="29">
        <v>2485629.9</v>
      </c>
      <c r="P48" s="51">
        <f t="shared" si="0"/>
        <v>4.5558300426223011E-2</v>
      </c>
      <c r="Q48" s="29">
        <f>5.5</f>
        <v>5.5</v>
      </c>
      <c r="R48" s="43">
        <v>110.3</v>
      </c>
      <c r="S48" s="32">
        <f t="shared" si="3"/>
        <v>5.7526366251198467E-2</v>
      </c>
      <c r="T48" s="54">
        <f>VLOOKUP(A48,[1]인포맥스!$A:$I,9,0)</f>
        <v>101.5577</v>
      </c>
      <c r="U48" s="70">
        <f t="shared" si="4"/>
        <v>5.5327335248204768E-3</v>
      </c>
    </row>
    <row r="49" spans="1:21" x14ac:dyDescent="0.25">
      <c r="A49" s="3">
        <v>42947</v>
      </c>
      <c r="B49" s="29">
        <f>87</f>
        <v>87</v>
      </c>
      <c r="C49" s="29">
        <v>78</v>
      </c>
      <c r="D49" s="50">
        <f>56.5</f>
        <v>56.5</v>
      </c>
      <c r="E49" s="30">
        <v>56.5</v>
      </c>
      <c r="F49" s="29">
        <f>19.4</f>
        <v>19.399999999999999</v>
      </c>
      <c r="G49" s="31">
        <v>48830</v>
      </c>
      <c r="H49" s="51">
        <f t="shared" si="1"/>
        <v>0.19441318917861161</v>
      </c>
      <c r="I49" s="29">
        <f>3</f>
        <v>3</v>
      </c>
      <c r="J49" s="31">
        <v>100.89</v>
      </c>
      <c r="K49" s="51">
        <f t="shared" si="2"/>
        <v>2.9699938763012825E-2</v>
      </c>
      <c r="L49" s="29">
        <f>2.2</f>
        <v>2.2000000000000002</v>
      </c>
      <c r="M49" s="30">
        <v>2.2000000000000002</v>
      </c>
      <c r="N49" s="29">
        <f>5.1</f>
        <v>5.0999999999999996</v>
      </c>
      <c r="O49" s="29">
        <v>2472110.4</v>
      </c>
      <c r="P49" s="51">
        <f t="shared" si="0"/>
        <v>5.0957827481498338E-2</v>
      </c>
      <c r="Q49" s="29">
        <f>5.6</f>
        <v>5.6</v>
      </c>
      <c r="R49" s="43">
        <v>109.9</v>
      </c>
      <c r="S49" s="32">
        <f t="shared" si="3"/>
        <v>5.8766859344894111E-2</v>
      </c>
      <c r="T49" s="54">
        <f>VLOOKUP(A49,[1]인포맥스!$A:$I,9,0)</f>
        <v>101.6675</v>
      </c>
      <c r="U49" s="70">
        <f t="shared" si="4"/>
        <v>8.2420633818740697E-3</v>
      </c>
    </row>
    <row r="50" spans="1:21" x14ac:dyDescent="0.25">
      <c r="A50" s="3">
        <v>42916</v>
      </c>
      <c r="B50" s="29">
        <f>87</f>
        <v>87</v>
      </c>
      <c r="C50" s="29">
        <v>77</v>
      </c>
      <c r="D50" s="50">
        <f>56.1</f>
        <v>56.1</v>
      </c>
      <c r="E50" s="30">
        <v>56.1</v>
      </c>
      <c r="F50" s="29">
        <f>13.4</f>
        <v>13.4</v>
      </c>
      <c r="G50" s="31">
        <v>51272</v>
      </c>
      <c r="H50" s="51">
        <f t="shared" si="1"/>
        <v>0.13411046473047403</v>
      </c>
      <c r="I50" s="29">
        <f>2.8</f>
        <v>2.8</v>
      </c>
      <c r="J50" s="31">
        <v>100.81</v>
      </c>
      <c r="K50" s="51">
        <f t="shared" si="2"/>
        <v>2.7729636048526851E-2</v>
      </c>
      <c r="L50" s="29">
        <f>1.8</f>
        <v>1.8</v>
      </c>
      <c r="M50" s="30">
        <v>1.8</v>
      </c>
      <c r="N50" s="29">
        <f>5.9</f>
        <v>5.9</v>
      </c>
      <c r="O50" s="29">
        <v>2470861.1</v>
      </c>
      <c r="P50" s="51">
        <f t="shared" si="0"/>
        <v>5.8521810930608174E-2</v>
      </c>
      <c r="Q50" s="29">
        <f>5.5</f>
        <v>5.5</v>
      </c>
      <c r="R50" s="43">
        <v>109.4</v>
      </c>
      <c r="S50" s="32">
        <f t="shared" si="3"/>
        <v>5.9051306873184981E-2</v>
      </c>
      <c r="T50" s="54">
        <f>VLOOKUP(A50,[1]인포맥스!$A:$I,9,0)</f>
        <v>101.7499</v>
      </c>
      <c r="U50" s="70">
        <f t="shared" si="4"/>
        <v>1.0458127765728411E-2</v>
      </c>
    </row>
    <row r="51" spans="1:21" x14ac:dyDescent="0.25">
      <c r="A51" s="3">
        <v>42886</v>
      </c>
      <c r="B51" s="29">
        <f>87</f>
        <v>87</v>
      </c>
      <c r="C51" s="29">
        <v>80</v>
      </c>
      <c r="D51" s="50">
        <f>56.4</f>
        <v>56.4</v>
      </c>
      <c r="E51" s="30">
        <v>56.4</v>
      </c>
      <c r="F51" s="29">
        <f>13.1</f>
        <v>13.1</v>
      </c>
      <c r="G51" s="31">
        <v>44927</v>
      </c>
      <c r="H51" s="51">
        <f t="shared" si="1"/>
        <v>0.13069411587053908</v>
      </c>
      <c r="I51" s="29">
        <f>3.4</f>
        <v>3.4</v>
      </c>
      <c r="J51" s="31">
        <v>101.21</v>
      </c>
      <c r="K51" s="51">
        <f t="shared" si="2"/>
        <v>3.4232577151032027E-2</v>
      </c>
      <c r="L51" s="29">
        <f>2</f>
        <v>2</v>
      </c>
      <c r="M51" s="30">
        <v>2</v>
      </c>
      <c r="N51" s="29">
        <f>6.1</f>
        <v>6.1</v>
      </c>
      <c r="O51" s="29">
        <v>2454386.7000000002</v>
      </c>
      <c r="P51" s="51">
        <f t="shared" si="0"/>
        <v>6.1218188575827434E-2</v>
      </c>
      <c r="Q51" s="29">
        <f>5.2</f>
        <v>5.2</v>
      </c>
      <c r="R51" s="43">
        <v>108.7</v>
      </c>
      <c r="S51" s="32">
        <f t="shared" si="3"/>
        <v>5.5339805825242748E-2</v>
      </c>
      <c r="T51" s="54">
        <f>VLOOKUP(A51,[1]인포맥스!$A:$I,9,0)</f>
        <v>101.8047</v>
      </c>
      <c r="U51" s="70">
        <f t="shared" si="4"/>
        <v>1.2056636766976282E-2</v>
      </c>
    </row>
    <row r="52" spans="1:21" x14ac:dyDescent="0.25">
      <c r="A52" s="3">
        <v>42855</v>
      </c>
      <c r="B52" s="29">
        <f>91</f>
        <v>91</v>
      </c>
      <c r="C52" s="29">
        <v>80</v>
      </c>
      <c r="D52" s="50">
        <f>55.7</f>
        <v>55.7</v>
      </c>
      <c r="E52" s="30">
        <v>55.7</v>
      </c>
      <c r="F52" s="29">
        <f>23.8</f>
        <v>23.8</v>
      </c>
      <c r="G52" s="31">
        <v>50844</v>
      </c>
      <c r="H52" s="51">
        <f t="shared" si="1"/>
        <v>0.23762231634292391</v>
      </c>
      <c r="I52" s="29">
        <f>3.8</f>
        <v>3.8</v>
      </c>
      <c r="J52" s="31">
        <v>101.48</v>
      </c>
      <c r="K52" s="51">
        <f t="shared" si="2"/>
        <v>3.8264784121137804E-2</v>
      </c>
      <c r="L52" s="29">
        <f>2</f>
        <v>2</v>
      </c>
      <c r="M52" s="30">
        <v>2</v>
      </c>
      <c r="N52" s="29">
        <f>6.6</f>
        <v>6.6</v>
      </c>
      <c r="O52" s="29">
        <v>2450220.9</v>
      </c>
      <c r="P52" s="51">
        <f t="shared" si="0"/>
        <v>6.5739128059542781E-2</v>
      </c>
      <c r="Q52" s="29">
        <f>5</f>
        <v>5</v>
      </c>
      <c r="R52" s="43">
        <v>108.1</v>
      </c>
      <c r="S52" s="32">
        <f t="shared" si="3"/>
        <v>5.3606237816764137E-2</v>
      </c>
      <c r="T52" s="54">
        <f>VLOOKUP(A52,[1]인포맥스!$A:$I,9,0)</f>
        <v>101.83150000000001</v>
      </c>
      <c r="U52" s="70" t="e">
        <f t="shared" si="4"/>
        <v>#N/A</v>
      </c>
    </row>
    <row r="53" spans="1:21" x14ac:dyDescent="0.25">
      <c r="A53" s="3">
        <v>42825</v>
      </c>
      <c r="B53" s="29">
        <f>88</f>
        <v>88</v>
      </c>
      <c r="C53" s="29">
        <v>78</v>
      </c>
      <c r="D53" s="50">
        <f>56.8</f>
        <v>56.8</v>
      </c>
      <c r="E53" s="30">
        <v>56.8</v>
      </c>
      <c r="F53" s="29">
        <f>13.1</f>
        <v>13.1</v>
      </c>
      <c r="G53" s="31">
        <v>48638</v>
      </c>
      <c r="H53" s="51">
        <f t="shared" si="1"/>
        <v>0.13106367145714154</v>
      </c>
      <c r="I53" s="29">
        <f>4.3</f>
        <v>4.3</v>
      </c>
      <c r="J53" s="31">
        <v>101.7</v>
      </c>
      <c r="K53" s="51">
        <f t="shared" si="2"/>
        <v>4.3076923076923103E-2</v>
      </c>
      <c r="L53" s="29">
        <f>2.3</f>
        <v>2.2999999999999998</v>
      </c>
      <c r="M53" s="30">
        <v>2.2999999999999998</v>
      </c>
      <c r="N53" s="29">
        <f>6.2</f>
        <v>6.2</v>
      </c>
      <c r="O53" s="29">
        <v>2436994.7000000002</v>
      </c>
      <c r="P53" s="51">
        <f t="shared" si="0"/>
        <v>6.2082033093537027E-2</v>
      </c>
      <c r="Q53" s="29">
        <f>4.8</f>
        <v>4.8</v>
      </c>
      <c r="R53" s="43">
        <v>107.6</v>
      </c>
      <c r="S53" s="32">
        <f t="shared" si="3"/>
        <v>5.2837573385518505E-2</v>
      </c>
      <c r="T53" s="54">
        <f>VLOOKUP(A53,[1]인포맥스!$A:$I,9,0)</f>
        <v>101.8165</v>
      </c>
      <c r="U53" s="70" t="e">
        <f t="shared" si="4"/>
        <v>#N/A</v>
      </c>
    </row>
    <row r="54" spans="1:21" x14ac:dyDescent="0.25">
      <c r="A54" s="3">
        <v>42794</v>
      </c>
      <c r="B54" s="29">
        <f>86</f>
        <v>86</v>
      </c>
      <c r="C54" s="29">
        <v>74</v>
      </c>
      <c r="D54" s="50">
        <f>57.7</f>
        <v>57.7</v>
      </c>
      <c r="E54" s="30">
        <v>57.7</v>
      </c>
      <c r="F54" s="29">
        <f>20.2</f>
        <v>20.2</v>
      </c>
      <c r="G54" s="31">
        <v>43167</v>
      </c>
      <c r="H54" s="51">
        <f t="shared" si="1"/>
        <v>0.2015866388308977</v>
      </c>
      <c r="I54" s="29">
        <f>4.3</f>
        <v>4.3</v>
      </c>
      <c r="J54" s="31">
        <v>101.74</v>
      </c>
      <c r="K54" s="51">
        <f t="shared" si="2"/>
        <v>4.2845428454284469E-2</v>
      </c>
      <c r="L54" s="29">
        <f>2.1</f>
        <v>2.1</v>
      </c>
      <c r="M54" s="30">
        <v>2.1</v>
      </c>
      <c r="N54" s="29">
        <f>5.9</f>
        <v>5.9</v>
      </c>
      <c r="O54" s="29">
        <v>2420285.6</v>
      </c>
      <c r="P54" s="51">
        <f t="shared" si="0"/>
        <v>5.9060649665789874E-2</v>
      </c>
      <c r="Q54" s="29">
        <f>4.7</f>
        <v>4.7</v>
      </c>
      <c r="R54" s="43">
        <v>107.3</v>
      </c>
      <c r="S54" s="32">
        <f t="shared" si="3"/>
        <v>5.1960784313725465E-2</v>
      </c>
      <c r="T54" s="54">
        <f>VLOOKUP(A54,[1]인포맥스!$A:$I,9,0)</f>
        <v>101.7585</v>
      </c>
      <c r="U54" s="70" t="e">
        <f t="shared" si="4"/>
        <v>#N/A</v>
      </c>
    </row>
    <row r="55" spans="1:21" x14ac:dyDescent="0.25">
      <c r="A55" s="3">
        <v>42766</v>
      </c>
      <c r="B55" s="29">
        <f>85</f>
        <v>85</v>
      </c>
      <c r="C55" s="29">
        <v>74</v>
      </c>
      <c r="D55" s="50">
        <f>55.7</f>
        <v>55.7</v>
      </c>
      <c r="E55" s="30">
        <v>55.7</v>
      </c>
      <c r="F55" s="29">
        <f>11</f>
        <v>11</v>
      </c>
      <c r="G55" s="31">
        <v>40257</v>
      </c>
      <c r="H55" s="51">
        <f t="shared" si="1"/>
        <v>0.11023166023166023</v>
      </c>
      <c r="I55" s="29">
        <f>3.9</f>
        <v>3.9</v>
      </c>
      <c r="J55" s="31">
        <v>101.35</v>
      </c>
      <c r="K55" s="51">
        <f t="shared" si="2"/>
        <v>3.8847888478884707E-2</v>
      </c>
      <c r="L55" s="29">
        <f>2.2</f>
        <v>2.2000000000000002</v>
      </c>
      <c r="M55" s="30">
        <v>2.2000000000000002</v>
      </c>
      <c r="N55" s="29">
        <f>6.9</f>
        <v>6.9</v>
      </c>
      <c r="O55" s="29">
        <v>2417807.6</v>
      </c>
      <c r="P55" s="51">
        <f t="shared" si="0"/>
        <v>6.9184671642205625E-2</v>
      </c>
      <c r="Q55" s="29">
        <f>4.5</f>
        <v>4.5</v>
      </c>
      <c r="R55" s="43">
        <v>106.8</v>
      </c>
      <c r="S55" s="32">
        <f t="shared" si="3"/>
        <v>4.7058823529411736E-2</v>
      </c>
      <c r="T55" s="54">
        <f>VLOOKUP(A55,[1]인포맥스!$A:$I,9,0)</f>
        <v>101.66330000000001</v>
      </c>
      <c r="U55" s="70" t="e">
        <f t="shared" si="4"/>
        <v>#N/A</v>
      </c>
    </row>
    <row r="56" spans="1:21" x14ac:dyDescent="0.25">
      <c r="A56" s="3">
        <v>42735</v>
      </c>
      <c r="B56" s="29">
        <f>86</f>
        <v>86</v>
      </c>
      <c r="C56" s="29">
        <v>73</v>
      </c>
      <c r="D56" s="50">
        <f>54.2</f>
        <v>54.2</v>
      </c>
      <c r="E56" s="30">
        <v>54.2</v>
      </c>
      <c r="F56" s="29">
        <f>6.3</f>
        <v>6.3</v>
      </c>
      <c r="G56" s="31">
        <v>45069</v>
      </c>
      <c r="H56" s="51">
        <f t="shared" si="1"/>
        <v>6.3449740443605476E-2</v>
      </c>
      <c r="I56" s="29">
        <f>1.8</f>
        <v>1.8</v>
      </c>
      <c r="J56" s="31">
        <v>99.9</v>
      </c>
      <c r="K56" s="51">
        <f t="shared" si="2"/>
        <v>1.845244163523297E-2</v>
      </c>
      <c r="L56" s="29">
        <f>1.3</f>
        <v>1.3</v>
      </c>
      <c r="M56" s="30">
        <v>1.3</v>
      </c>
      <c r="N56" s="29">
        <f>7.5</f>
        <v>7.5</v>
      </c>
      <c r="O56" s="29">
        <v>2414040.9</v>
      </c>
      <c r="P56" s="51">
        <f t="shared" si="0"/>
        <v>7.4784308824555307E-2</v>
      </c>
      <c r="Q56" s="29">
        <f>4.4</f>
        <v>4.4000000000000004</v>
      </c>
      <c r="R56" s="43">
        <v>106.4</v>
      </c>
      <c r="S56" s="32">
        <f t="shared" si="3"/>
        <v>4.3137254901960839E-2</v>
      </c>
      <c r="T56" s="54">
        <f>VLOOKUP(A56,[1]인포맥스!$A:$I,9,0)</f>
        <v>101.5458</v>
      </c>
      <c r="U56" s="70" t="e">
        <f t="shared" si="4"/>
        <v>#N/A</v>
      </c>
    </row>
    <row r="57" spans="1:21" x14ac:dyDescent="0.25">
      <c r="A57" s="3">
        <v>42704</v>
      </c>
      <c r="B57" s="29">
        <f>84</f>
        <v>84</v>
      </c>
      <c r="C57" s="29">
        <v>73</v>
      </c>
      <c r="D57" s="50">
        <f>53.3</f>
        <v>53.3</v>
      </c>
      <c r="E57" s="30">
        <v>53.3</v>
      </c>
      <c r="F57" s="29">
        <f>2.3</f>
        <v>2.2999999999999998</v>
      </c>
      <c r="G57" s="31">
        <v>45309</v>
      </c>
      <c r="H57" s="51">
        <f t="shared" si="1"/>
        <v>2.3122953596025741E-2</v>
      </c>
      <c r="I57" s="29">
        <f>0.7</f>
        <v>0.7</v>
      </c>
      <c r="J57" s="31">
        <v>99.03</v>
      </c>
      <c r="K57" s="51">
        <f t="shared" si="2"/>
        <v>7.2213181448332791E-3</v>
      </c>
      <c r="L57" s="29">
        <f>1.5</f>
        <v>1.5</v>
      </c>
      <c r="M57" s="30">
        <v>1.5</v>
      </c>
      <c r="N57" s="29">
        <f>7.3</f>
        <v>7.3</v>
      </c>
      <c r="O57" s="29">
        <v>2406393.5</v>
      </c>
      <c r="P57" s="51">
        <f t="shared" si="0"/>
        <v>7.2918577369614143E-2</v>
      </c>
      <c r="Q57" s="29">
        <f>4.1</f>
        <v>4.0999999999999996</v>
      </c>
      <c r="R57" s="43">
        <v>105.8</v>
      </c>
      <c r="S57" s="32">
        <f t="shared" si="3"/>
        <v>3.8272816486751633E-2</v>
      </c>
      <c r="T57" s="54">
        <f>VLOOKUP(A57,[1]인포맥스!$A:$I,9,0)</f>
        <v>101.4204</v>
      </c>
      <c r="U57" s="70" t="e">
        <f t="shared" si="4"/>
        <v>#N/A</v>
      </c>
    </row>
    <row r="58" spans="1:21" x14ac:dyDescent="0.25">
      <c r="A58" s="3">
        <v>42674</v>
      </c>
      <c r="B58" s="29">
        <f>80</f>
        <v>80</v>
      </c>
      <c r="C58" s="29">
        <v>71</v>
      </c>
      <c r="D58" s="50">
        <f>51.8</f>
        <v>51.8</v>
      </c>
      <c r="E58" s="30">
        <v>51.8</v>
      </c>
      <c r="F58" s="29">
        <f>-3.2</f>
        <v>-3.2</v>
      </c>
      <c r="G58" s="31">
        <v>41983</v>
      </c>
      <c r="H58" s="51">
        <f t="shared" si="1"/>
        <v>-3.157870455803654E-2</v>
      </c>
      <c r="I58" s="29">
        <f>-0.1</f>
        <v>-0.1</v>
      </c>
      <c r="J58" s="31">
        <v>98.59</v>
      </c>
      <c r="K58" s="51">
        <f t="shared" si="2"/>
        <v>-1.2156823016917268E-3</v>
      </c>
      <c r="L58" s="29">
        <f>1.5</f>
        <v>1.5</v>
      </c>
      <c r="M58" s="30">
        <v>1.5</v>
      </c>
      <c r="N58" s="29">
        <f>7.1</f>
        <v>7.1</v>
      </c>
      <c r="O58" s="29">
        <v>2391059.2000000002</v>
      </c>
      <c r="P58" s="51">
        <f t="shared" si="0"/>
        <v>7.1055781318311237E-2</v>
      </c>
      <c r="Q58" s="29">
        <f>4</f>
        <v>4</v>
      </c>
      <c r="R58" s="43">
        <v>105.4</v>
      </c>
      <c r="S58" s="32">
        <f t="shared" si="3"/>
        <v>3.8423645320197097E-2</v>
      </c>
      <c r="T58" s="54">
        <f>VLOOKUP(A58,[1]인포맥스!$A:$I,9,0)</f>
        <v>101.2927</v>
      </c>
      <c r="U58" s="70" t="e">
        <f t="shared" si="4"/>
        <v>#N/A</v>
      </c>
    </row>
    <row r="59" spans="1:21" x14ac:dyDescent="0.25">
      <c r="A59" s="3">
        <v>42643</v>
      </c>
      <c r="B59" s="29">
        <f>81</f>
        <v>81</v>
      </c>
      <c r="C59" s="29">
        <v>72</v>
      </c>
      <c r="D59" s="50">
        <f>51</f>
        <v>51</v>
      </c>
      <c r="E59" s="30">
        <v>51</v>
      </c>
      <c r="F59" s="29">
        <f>-6</f>
        <v>-6</v>
      </c>
      <c r="G59" s="31">
        <v>40846</v>
      </c>
      <c r="H59" s="51">
        <f t="shared" si="1"/>
        <v>-5.9541351998526434E-2</v>
      </c>
      <c r="I59" s="29">
        <f>-1.1</f>
        <v>-1.1000000000000001</v>
      </c>
      <c r="J59" s="31">
        <v>98.3</v>
      </c>
      <c r="K59" s="51">
        <f t="shared" si="2"/>
        <v>-1.0966898078277528E-2</v>
      </c>
      <c r="L59" s="29">
        <f>1.3</f>
        <v>1.3</v>
      </c>
      <c r="M59" s="30">
        <v>1.3</v>
      </c>
      <c r="N59" s="29">
        <f>6.9</f>
        <v>6.9</v>
      </c>
      <c r="O59" s="29">
        <v>2383040.5</v>
      </c>
      <c r="P59" s="51">
        <f t="shared" si="0"/>
        <v>6.8627691462159537E-2</v>
      </c>
      <c r="Q59" s="29">
        <f>3.9</f>
        <v>3.9</v>
      </c>
      <c r="R59" s="43">
        <v>104.9</v>
      </c>
      <c r="S59" s="32">
        <f t="shared" si="3"/>
        <v>3.7586547972304762E-2</v>
      </c>
      <c r="T59" s="54">
        <f>VLOOKUP(A59,[1]인포맥스!$A:$I,9,0)</f>
        <v>101.1567</v>
      </c>
      <c r="U59" s="70" t="e">
        <f t="shared" si="4"/>
        <v>#N/A</v>
      </c>
    </row>
    <row r="60" spans="1:21" x14ac:dyDescent="0.25">
      <c r="A60" s="3">
        <v>42613</v>
      </c>
      <c r="B60" s="29">
        <f>80</f>
        <v>80</v>
      </c>
      <c r="C60" s="29">
        <v>72</v>
      </c>
      <c r="D60" s="50">
        <f>49.7</f>
        <v>49.7</v>
      </c>
      <c r="E60" s="30">
        <v>49.7</v>
      </c>
      <c r="F60" s="29">
        <f>2.6</f>
        <v>2.6</v>
      </c>
      <c r="G60" s="31">
        <v>40125</v>
      </c>
      <c r="H60" s="51">
        <f t="shared" si="1"/>
        <v>2.6031145319252307E-2</v>
      </c>
      <c r="I60" s="29">
        <f>-1.8</f>
        <v>-1.8</v>
      </c>
      <c r="J60" s="31">
        <v>98.07</v>
      </c>
      <c r="K60" s="51">
        <f t="shared" si="2"/>
        <v>-1.7629970950616098E-2</v>
      </c>
      <c r="L60" s="29">
        <f>0.5</f>
        <v>0.5</v>
      </c>
      <c r="M60" s="30">
        <v>0.5</v>
      </c>
      <c r="N60" s="29">
        <f>7.2</f>
        <v>7.2</v>
      </c>
      <c r="O60" s="29">
        <v>2377323.1</v>
      </c>
      <c r="P60" s="51">
        <f t="shared" si="0"/>
        <v>7.1512885501219037E-2</v>
      </c>
      <c r="Q60" s="29">
        <f>3.6</f>
        <v>3.6</v>
      </c>
      <c r="R60" s="43">
        <v>104.3</v>
      </c>
      <c r="S60" s="32">
        <f t="shared" si="3"/>
        <v>3.781094527363181E-2</v>
      </c>
      <c r="T60" s="54">
        <f>VLOOKUP(A60,[1]인포맥스!$A:$I,9,0)</f>
        <v>100.99890000000001</v>
      </c>
      <c r="U60" s="70" t="e">
        <f t="shared" si="4"/>
        <v>#N/A</v>
      </c>
    </row>
    <row r="61" spans="1:21" x14ac:dyDescent="0.25">
      <c r="A61" s="3">
        <v>42582</v>
      </c>
      <c r="B61" s="29">
        <f>81</f>
        <v>81</v>
      </c>
      <c r="C61" s="29">
        <v>71</v>
      </c>
      <c r="D61" s="50">
        <f>52.4</f>
        <v>52.4</v>
      </c>
      <c r="E61" s="30">
        <v>52.4</v>
      </c>
      <c r="F61" s="29">
        <f>-10.5</f>
        <v>-10.5</v>
      </c>
      <c r="G61" s="31">
        <v>40882</v>
      </c>
      <c r="H61" s="51">
        <f t="shared" si="1"/>
        <v>-0.1053483893557423</v>
      </c>
      <c r="I61" s="29">
        <f>-2.5</f>
        <v>-2.5</v>
      </c>
      <c r="J61" s="31">
        <v>97.98</v>
      </c>
      <c r="K61" s="51">
        <f t="shared" si="2"/>
        <v>-2.4589347934295659E-2</v>
      </c>
      <c r="L61" s="29">
        <f>0.4</f>
        <v>0.4</v>
      </c>
      <c r="M61" s="30">
        <v>0.4</v>
      </c>
      <c r="N61" s="29">
        <f>6.9</f>
        <v>6.9</v>
      </c>
      <c r="O61" s="29">
        <v>2352245.1</v>
      </c>
      <c r="P61" s="51">
        <f t="shared" si="0"/>
        <v>6.8954077891638793E-2</v>
      </c>
      <c r="Q61" s="29">
        <f>3.4</f>
        <v>3.4</v>
      </c>
      <c r="R61" s="43">
        <v>103.8</v>
      </c>
      <c r="S61" s="32">
        <f t="shared" si="3"/>
        <v>3.6963036963036995E-2</v>
      </c>
      <c r="T61" s="54">
        <f>VLOOKUP(A61,[1]인포맥스!$A:$I,9,0)</f>
        <v>100.8364</v>
      </c>
      <c r="U61" s="70" t="e">
        <f t="shared" si="4"/>
        <v>#N/A</v>
      </c>
    </row>
    <row r="62" spans="1:21" x14ac:dyDescent="0.25">
      <c r="A62" s="3">
        <v>42551</v>
      </c>
      <c r="B62" s="29">
        <f>80</f>
        <v>80</v>
      </c>
      <c r="C62" s="29">
        <v>71</v>
      </c>
      <c r="D62" s="50">
        <f>52.4</f>
        <v>52.4</v>
      </c>
      <c r="E62" s="30">
        <v>52.4</v>
      </c>
      <c r="F62" s="29">
        <f>-2.9</f>
        <v>-2.9</v>
      </c>
      <c r="G62" s="31">
        <v>45209</v>
      </c>
      <c r="H62" s="51">
        <f t="shared" si="1"/>
        <v>-2.8912039523144667E-2</v>
      </c>
      <c r="I62" s="29">
        <f>-2.7</f>
        <v>-2.7</v>
      </c>
      <c r="J62" s="31">
        <v>98.09</v>
      </c>
      <c r="K62" s="51">
        <f t="shared" si="2"/>
        <v>-2.7077960722078853E-2</v>
      </c>
      <c r="L62" s="29">
        <f>0.7</f>
        <v>0.7</v>
      </c>
      <c r="M62" s="30">
        <v>0.7</v>
      </c>
      <c r="N62" s="29">
        <f>7.1</f>
        <v>7.1</v>
      </c>
      <c r="O62" s="29">
        <v>2334256.2000000002</v>
      </c>
      <c r="P62" s="51">
        <f t="shared" si="0"/>
        <v>7.0975344531520629E-2</v>
      </c>
      <c r="Q62" s="29">
        <f>3.3</f>
        <v>3.3</v>
      </c>
      <c r="R62" s="43">
        <v>103.3</v>
      </c>
      <c r="S62" s="32">
        <f t="shared" si="3"/>
        <v>3.4034034034033947E-2</v>
      </c>
      <c r="T62" s="54">
        <f>VLOOKUP(A62,[1]인포맥스!$A:$I,9,0)</f>
        <v>100.6968</v>
      </c>
      <c r="U62" s="70" t="e">
        <f t="shared" si="4"/>
        <v>#N/A</v>
      </c>
    </row>
    <row r="63" spans="1:21" x14ac:dyDescent="0.25">
      <c r="A63" s="3">
        <v>42521</v>
      </c>
      <c r="B63" s="29">
        <f>78</f>
        <v>78</v>
      </c>
      <c r="C63" s="29">
        <v>71</v>
      </c>
      <c r="D63" s="50">
        <f>51.3</f>
        <v>51.3</v>
      </c>
      <c r="E63" s="30">
        <v>51.3</v>
      </c>
      <c r="F63" s="29">
        <f>-6.1</f>
        <v>-6.1</v>
      </c>
      <c r="G63" s="31">
        <v>39734</v>
      </c>
      <c r="H63" s="51">
        <f t="shared" si="1"/>
        <v>-6.1261133555413801E-2</v>
      </c>
      <c r="I63" s="29">
        <f>-3</f>
        <v>-3</v>
      </c>
      <c r="J63" s="31">
        <v>97.86</v>
      </c>
      <c r="K63" s="51">
        <f t="shared" si="2"/>
        <v>-2.9840388619014623E-2</v>
      </c>
      <c r="L63" s="29">
        <f>0.8</f>
        <v>0.8</v>
      </c>
      <c r="M63" s="30">
        <v>0.8</v>
      </c>
      <c r="N63" s="29">
        <f>6.7</f>
        <v>6.7</v>
      </c>
      <c r="O63" s="29">
        <v>2312801.2000000002</v>
      </c>
      <c r="P63" s="51">
        <f t="shared" si="0"/>
        <v>6.7410038052077417E-2</v>
      </c>
      <c r="Q63" s="29">
        <f>3.4</f>
        <v>3.4</v>
      </c>
      <c r="R63" s="43">
        <v>103</v>
      </c>
      <c r="S63" s="32">
        <f t="shared" si="3"/>
        <v>3.4136546184739013E-2</v>
      </c>
      <c r="T63" s="54">
        <f>VLOOKUP(A63,[1]인포맥스!$A:$I,9,0)</f>
        <v>100.5919</v>
      </c>
      <c r="U63" s="70" t="e">
        <f t="shared" si="4"/>
        <v>#N/A</v>
      </c>
    </row>
    <row r="64" spans="1:21" x14ac:dyDescent="0.25">
      <c r="A64" s="3">
        <v>42490</v>
      </c>
      <c r="B64" s="29">
        <f>82</f>
        <v>82</v>
      </c>
      <c r="C64" s="29">
        <v>70</v>
      </c>
      <c r="D64" s="50">
        <f>51</f>
        <v>51</v>
      </c>
      <c r="E64" s="30">
        <v>51</v>
      </c>
      <c r="F64" s="29">
        <f>-11.1</f>
        <v>-11.1</v>
      </c>
      <c r="G64" s="31">
        <v>41082</v>
      </c>
      <c r="H64" s="51">
        <f t="shared" si="1"/>
        <v>-0.11120245770412358</v>
      </c>
      <c r="I64" s="29">
        <f>-3</f>
        <v>-3</v>
      </c>
      <c r="J64" s="31">
        <v>97.74</v>
      </c>
      <c r="K64" s="51">
        <f t="shared" si="2"/>
        <v>-3.0357142857142881E-2</v>
      </c>
      <c r="L64" s="29">
        <f>1</f>
        <v>1</v>
      </c>
      <c r="M64" s="30">
        <v>1</v>
      </c>
      <c r="N64" s="29">
        <f>7</f>
        <v>7</v>
      </c>
      <c r="O64" s="29">
        <v>2299081.2999999998</v>
      </c>
      <c r="P64" s="51">
        <f t="shared" si="0"/>
        <v>7.0278649459453738E-2</v>
      </c>
      <c r="Q64" s="29">
        <f>3.4</f>
        <v>3.4</v>
      </c>
      <c r="R64" s="43">
        <v>102.6</v>
      </c>
      <c r="S64" s="32">
        <f t="shared" si="3"/>
        <v>3.6363636363636306E-2</v>
      </c>
      <c r="T64" s="54" t="e">
        <f>VLOOKUP(A64,[1]인포맥스!$A:$I,9,0)</f>
        <v>#N/A</v>
      </c>
      <c r="U64" s="70" t="e">
        <f t="shared" si="4"/>
        <v>#N/A</v>
      </c>
    </row>
    <row r="65" spans="1:21" x14ac:dyDescent="0.25">
      <c r="A65" s="3">
        <v>42460</v>
      </c>
      <c r="B65" s="29">
        <f>79</f>
        <v>79</v>
      </c>
      <c r="C65" s="29">
        <v>68</v>
      </c>
      <c r="D65" s="50">
        <f>51.4</f>
        <v>51.4</v>
      </c>
      <c r="E65" s="30">
        <v>51.4</v>
      </c>
      <c r="F65" s="29">
        <f>-8.2</f>
        <v>-8.1999999999999993</v>
      </c>
      <c r="G65" s="31">
        <v>43002</v>
      </c>
      <c r="H65" s="51">
        <f t="shared" si="1"/>
        <v>-8.1605194028575703E-2</v>
      </c>
      <c r="I65" s="29">
        <f>-3.3</f>
        <v>-3.3</v>
      </c>
      <c r="J65" s="31">
        <v>97.5</v>
      </c>
      <c r="K65" s="51">
        <f t="shared" si="2"/>
        <v>-3.3121777072590272E-2</v>
      </c>
      <c r="L65" s="29">
        <f>0.8</f>
        <v>0.8</v>
      </c>
      <c r="M65" s="30">
        <v>0.8</v>
      </c>
      <c r="N65" s="29">
        <f>7.8</f>
        <v>7.8</v>
      </c>
      <c r="O65" s="29">
        <v>2294544.7000000002</v>
      </c>
      <c r="P65" s="51">
        <f t="shared" si="0"/>
        <v>7.8320341890206993E-2</v>
      </c>
      <c r="Q65" s="29">
        <f>3.4</f>
        <v>3.4</v>
      </c>
      <c r="R65" s="43">
        <v>102.2</v>
      </c>
      <c r="S65" s="32">
        <f t="shared" si="3"/>
        <v>3.6511156186612666E-2</v>
      </c>
      <c r="T65" s="54" t="e">
        <f>VLOOKUP(A65,[1]인포맥스!$A:$I,9,0)</f>
        <v>#N/A</v>
      </c>
      <c r="U65" s="70" t="e">
        <f t="shared" si="4"/>
        <v>#N/A</v>
      </c>
    </row>
    <row r="66" spans="1:21" x14ac:dyDescent="0.25">
      <c r="A66" s="3">
        <v>42429</v>
      </c>
      <c r="B66" s="29">
        <f>75</f>
        <v>75</v>
      </c>
      <c r="C66" s="29">
        <v>63</v>
      </c>
      <c r="D66" s="50">
        <f>49.2</f>
        <v>49.2</v>
      </c>
      <c r="E66" s="30">
        <v>49.2</v>
      </c>
      <c r="F66" s="29">
        <f>-13.4</f>
        <v>-13.4</v>
      </c>
      <c r="G66" s="31">
        <v>35925</v>
      </c>
      <c r="H66" s="51">
        <f t="shared" si="1"/>
        <v>-0.13375289351851852</v>
      </c>
      <c r="I66" s="29">
        <f>-3.4</f>
        <v>-3.4</v>
      </c>
      <c r="J66" s="31">
        <v>97.56</v>
      </c>
      <c r="K66" s="51">
        <f t="shared" si="2"/>
        <v>-3.3676703645007841E-2</v>
      </c>
      <c r="L66" s="29">
        <f>1.1</f>
        <v>1.1000000000000001</v>
      </c>
      <c r="M66" s="30">
        <v>1.1000000000000001</v>
      </c>
      <c r="N66" s="29">
        <f>8.3</f>
        <v>8.3000000000000007</v>
      </c>
      <c r="O66" s="29">
        <v>2285313.5</v>
      </c>
      <c r="P66" s="51">
        <f t="shared" si="0"/>
        <v>8.3142253279942388E-2</v>
      </c>
      <c r="Q66" s="29">
        <f>3.6</f>
        <v>3.6</v>
      </c>
      <c r="R66" s="43">
        <v>102</v>
      </c>
      <c r="S66" s="32">
        <f t="shared" si="3"/>
        <v>3.8696537678207708E-2</v>
      </c>
      <c r="T66" s="54" t="e">
        <f>VLOOKUP(A66,[1]인포맥스!$A:$I,9,0)</f>
        <v>#N/A</v>
      </c>
      <c r="U66" s="70" t="e">
        <f t="shared" si="4"/>
        <v>#N/A</v>
      </c>
    </row>
    <row r="67" spans="1:21" x14ac:dyDescent="0.25">
      <c r="A67" s="3">
        <v>42400</v>
      </c>
      <c r="B67" s="29">
        <f>76</f>
        <v>76</v>
      </c>
      <c r="C67" s="29">
        <v>67</v>
      </c>
      <c r="D67" s="50">
        <f>47.5</f>
        <v>47.5</v>
      </c>
      <c r="E67" s="30">
        <v>47.5</v>
      </c>
      <c r="F67" s="29">
        <f>-19.6</f>
        <v>-19.600000000000001</v>
      </c>
      <c r="G67" s="31">
        <v>36260</v>
      </c>
      <c r="H67" s="51">
        <f t="shared" si="1"/>
        <v>-0.1960979935705576</v>
      </c>
      <c r="I67" s="29">
        <f>-3.3</f>
        <v>-3.3</v>
      </c>
      <c r="J67" s="31">
        <v>97.56</v>
      </c>
      <c r="K67" s="51">
        <f t="shared" si="2"/>
        <v>-3.3006244424620856E-2</v>
      </c>
      <c r="L67" s="29">
        <f>0.6</f>
        <v>0.6</v>
      </c>
      <c r="M67" s="30">
        <v>0.6</v>
      </c>
      <c r="N67" s="29">
        <f>8.1</f>
        <v>8.1</v>
      </c>
      <c r="O67" s="29">
        <v>2261356.4</v>
      </c>
      <c r="P67" s="51">
        <f t="shared" si="0"/>
        <v>8.0838830077188173E-2</v>
      </c>
      <c r="Q67" s="29">
        <f>4</f>
        <v>4</v>
      </c>
      <c r="R67" s="43">
        <v>102</v>
      </c>
      <c r="S67" s="32">
        <f t="shared" si="3"/>
        <v>4.2944785276073649E-2</v>
      </c>
      <c r="T67" s="54" t="e">
        <f>VLOOKUP(A67,[1]인포맥스!$A:$I,9,0)</f>
        <v>#N/A</v>
      </c>
      <c r="U67" s="70" t="e">
        <f t="shared" si="4"/>
        <v>#N/A</v>
      </c>
    </row>
    <row r="68" spans="1:21" x14ac:dyDescent="0.25">
      <c r="A68" s="3">
        <v>42369</v>
      </c>
      <c r="B68" s="29">
        <f>77</f>
        <v>77</v>
      </c>
      <c r="C68" s="29">
        <v>69</v>
      </c>
      <c r="D68" s="50">
        <f>48.8</f>
        <v>48.8</v>
      </c>
      <c r="E68" s="30">
        <v>48.8</v>
      </c>
      <c r="F68" s="29">
        <f>-14.3</f>
        <v>-14.3</v>
      </c>
      <c r="G68" s="31">
        <v>42380</v>
      </c>
      <c r="H68" s="51">
        <f t="shared" si="1"/>
        <v>-0.14735232576854981</v>
      </c>
      <c r="I68" s="29">
        <f>-4</f>
        <v>-4</v>
      </c>
      <c r="J68" s="31">
        <v>98.09</v>
      </c>
      <c r="K68" s="51">
        <f t="shared" si="2"/>
        <v>-3.9651458782063803E-2</v>
      </c>
      <c r="L68" s="29">
        <f>1.1</f>
        <v>1.1000000000000001</v>
      </c>
      <c r="M68" s="30">
        <v>1.1000000000000001</v>
      </c>
      <c r="N68" s="29">
        <f>7.5</f>
        <v>7.5</v>
      </c>
      <c r="O68" s="29">
        <v>2246070.1</v>
      </c>
      <c r="P68" s="51">
        <f t="shared" si="0"/>
        <v>7.53282210078106E-2</v>
      </c>
      <c r="Q68" s="29">
        <f>4.4</f>
        <v>4.4000000000000004</v>
      </c>
      <c r="R68" s="43">
        <v>102</v>
      </c>
      <c r="S68" s="32">
        <f t="shared" si="3"/>
        <v>4.8304213771839702E-2</v>
      </c>
      <c r="T68" s="54" t="e">
        <f>VLOOKUP(A68,[1]인포맥스!$A:$I,9,0)</f>
        <v>#N/A</v>
      </c>
      <c r="U68" s="70" t="e">
        <f t="shared" si="4"/>
        <v>#N/A</v>
      </c>
    </row>
    <row r="69" spans="1:21" x14ac:dyDescent="0.25">
      <c r="A69" s="3">
        <v>42338</v>
      </c>
      <c r="B69" s="29">
        <f>79</f>
        <v>79</v>
      </c>
      <c r="C69" s="29">
        <v>69</v>
      </c>
      <c r="D69" s="50">
        <f>49.1</f>
        <v>49.1</v>
      </c>
      <c r="E69" s="30">
        <v>49.1</v>
      </c>
      <c r="F69" s="29">
        <f>-5</f>
        <v>-5</v>
      </c>
      <c r="G69" s="31">
        <v>44285</v>
      </c>
      <c r="H69" s="51">
        <f t="shared" si="1"/>
        <v>-5.29096002908531E-2</v>
      </c>
      <c r="I69" s="29">
        <f>-4.7</f>
        <v>-4.7</v>
      </c>
      <c r="J69" s="31">
        <v>98.32</v>
      </c>
      <c r="K69" s="51">
        <f t="shared" si="2"/>
        <v>-4.682501211827448E-2</v>
      </c>
      <c r="L69" s="29">
        <f>0.8</f>
        <v>0.8</v>
      </c>
      <c r="M69" s="30">
        <v>0.8</v>
      </c>
      <c r="N69" s="29">
        <f>7.7</f>
        <v>7.7</v>
      </c>
      <c r="O69" s="29">
        <v>2242848.2000000002</v>
      </c>
      <c r="P69" s="51">
        <f t="shared" ref="P69:P132" si="5">(O69-O81)/O81</f>
        <v>7.6608391633567488E-2</v>
      </c>
      <c r="Q69" s="29">
        <f>4.7</f>
        <v>4.7</v>
      </c>
      <c r="R69" s="43">
        <v>101.9</v>
      </c>
      <c r="S69" s="32">
        <f t="shared" si="3"/>
        <v>5.051546391752583E-2</v>
      </c>
      <c r="T69" s="54" t="e">
        <f>VLOOKUP(A69,[1]인포맥스!$A:$I,9,0)</f>
        <v>#N/A</v>
      </c>
      <c r="U69" s="70" t="e">
        <f t="shared" si="4"/>
        <v>#N/A</v>
      </c>
    </row>
    <row r="70" spans="1:21" x14ac:dyDescent="0.25">
      <c r="A70" s="3">
        <v>42308</v>
      </c>
      <c r="B70" s="29">
        <f>81</f>
        <v>81</v>
      </c>
      <c r="C70" s="29">
        <v>73</v>
      </c>
      <c r="D70" s="50">
        <f>49</f>
        <v>49</v>
      </c>
      <c r="E70" s="30">
        <v>49</v>
      </c>
      <c r="F70" s="29">
        <f>-16</f>
        <v>-16</v>
      </c>
      <c r="G70" s="31">
        <v>43352</v>
      </c>
      <c r="H70" s="51">
        <f t="shared" ref="H70:H133" si="6">(G70-G82)/G82</f>
        <v>-0.16054450748407334</v>
      </c>
      <c r="I70" s="29">
        <f>-4.6</f>
        <v>-4.5999999999999996</v>
      </c>
      <c r="J70" s="31">
        <v>98.71</v>
      </c>
      <c r="K70" s="51">
        <f t="shared" ref="K70:K133" si="7">(J70-J82)/J82</f>
        <v>-4.6003672562095345E-2</v>
      </c>
      <c r="L70" s="29">
        <f>0.8</f>
        <v>0.8</v>
      </c>
      <c r="M70" s="30">
        <v>0.8</v>
      </c>
      <c r="N70" s="29">
        <f>8.8</f>
        <v>8.8000000000000007</v>
      </c>
      <c r="O70" s="29">
        <v>2232432</v>
      </c>
      <c r="P70" s="51">
        <f t="shared" si="5"/>
        <v>8.838077062923437E-2</v>
      </c>
      <c r="Q70" s="29">
        <f>4.8</f>
        <v>4.8</v>
      </c>
      <c r="R70" s="43">
        <v>101.5</v>
      </c>
      <c r="S70" s="32">
        <f t="shared" ref="S70:S133" si="8">(R70-R82)/R82</f>
        <v>4.9638055842812792E-2</v>
      </c>
      <c r="T70" s="54" t="e">
        <f>VLOOKUP(A70,[1]인포맥스!$A:$I,9,0)</f>
        <v>#N/A</v>
      </c>
      <c r="U70" s="70" t="e">
        <f t="shared" ref="U70:U133" si="9">(T70-T82)/T82</f>
        <v>#N/A</v>
      </c>
    </row>
    <row r="71" spans="1:21" x14ac:dyDescent="0.25">
      <c r="A71" s="3">
        <v>42277</v>
      </c>
      <c r="B71" s="29">
        <f>79</f>
        <v>79</v>
      </c>
      <c r="C71" s="29">
        <v>69</v>
      </c>
      <c r="D71" s="50">
        <f>50</f>
        <v>50</v>
      </c>
      <c r="E71" s="30">
        <v>50</v>
      </c>
      <c r="F71" s="29">
        <f>-8.5</f>
        <v>-8.5</v>
      </c>
      <c r="G71" s="31">
        <v>43432</v>
      </c>
      <c r="H71" s="51">
        <f t="shared" si="6"/>
        <v>-8.4640026976901026E-2</v>
      </c>
      <c r="I71" s="29">
        <f>-4.6</f>
        <v>-4.5999999999999996</v>
      </c>
      <c r="J71" s="31">
        <v>99.39</v>
      </c>
      <c r="K71" s="51">
        <f t="shared" si="7"/>
        <v>-4.616122840690981E-2</v>
      </c>
      <c r="L71" s="29">
        <f>0.5</f>
        <v>0.5</v>
      </c>
      <c r="M71" s="30">
        <v>0.5</v>
      </c>
      <c r="N71" s="29">
        <f>9.4</f>
        <v>9.4</v>
      </c>
      <c r="O71" s="29">
        <v>2230000.7000000002</v>
      </c>
      <c r="P71" s="51">
        <f t="shared" si="5"/>
        <v>9.4424727355819721E-2</v>
      </c>
      <c r="Q71" s="29">
        <f>4.7</f>
        <v>4.7</v>
      </c>
      <c r="R71" s="43">
        <v>101.1</v>
      </c>
      <c r="S71" s="32">
        <f t="shared" si="8"/>
        <v>4.9844236760124581E-2</v>
      </c>
      <c r="T71" s="54" t="e">
        <f>VLOOKUP(A71,[1]인포맥스!$A:$I,9,0)</f>
        <v>#N/A</v>
      </c>
      <c r="U71" s="70" t="e">
        <f t="shared" si="9"/>
        <v>#N/A</v>
      </c>
    </row>
    <row r="72" spans="1:21" x14ac:dyDescent="0.25">
      <c r="A72" s="3">
        <v>42247</v>
      </c>
      <c r="B72" s="29">
        <f>78</f>
        <v>78</v>
      </c>
      <c r="C72" s="29">
        <v>69</v>
      </c>
      <c r="D72" s="50">
        <f>50</f>
        <v>50</v>
      </c>
      <c r="E72" s="30">
        <v>50</v>
      </c>
      <c r="F72" s="29">
        <f>-15.2</f>
        <v>-15.2</v>
      </c>
      <c r="G72" s="31">
        <v>39107</v>
      </c>
      <c r="H72" s="51">
        <f t="shared" si="6"/>
        <v>-0.15198629542891837</v>
      </c>
      <c r="I72" s="29">
        <f>-4.5</f>
        <v>-4.5</v>
      </c>
      <c r="J72" s="31">
        <v>99.83</v>
      </c>
      <c r="K72" s="51">
        <f t="shared" si="7"/>
        <v>-4.5419774335436987E-2</v>
      </c>
      <c r="L72" s="29">
        <f>0.7</f>
        <v>0.7</v>
      </c>
      <c r="M72" s="30">
        <v>0.7</v>
      </c>
      <c r="N72" s="29">
        <f>9.2</f>
        <v>9.1999999999999993</v>
      </c>
      <c r="O72" s="29">
        <v>2218660.2999999998</v>
      </c>
      <c r="P72" s="51">
        <f t="shared" si="5"/>
        <v>9.1980114748802119E-2</v>
      </c>
      <c r="Q72" s="29">
        <f>4.6</f>
        <v>4.5999999999999996</v>
      </c>
      <c r="R72" s="43">
        <v>100.5</v>
      </c>
      <c r="S72" s="32">
        <f t="shared" si="8"/>
        <v>4.9060542797494812E-2</v>
      </c>
      <c r="T72" s="54" t="e">
        <f>VLOOKUP(A72,[1]인포맥스!$A:$I,9,0)</f>
        <v>#N/A</v>
      </c>
      <c r="U72" s="70" t="e">
        <f t="shared" si="9"/>
        <v>#N/A</v>
      </c>
    </row>
    <row r="73" spans="1:21" x14ac:dyDescent="0.25">
      <c r="A73" s="3">
        <v>42216</v>
      </c>
      <c r="B73" s="29">
        <f>79</f>
        <v>79</v>
      </c>
      <c r="C73" s="29">
        <v>70</v>
      </c>
      <c r="D73" s="50">
        <f>51.9</f>
        <v>51.9</v>
      </c>
      <c r="E73" s="30">
        <v>51.9</v>
      </c>
      <c r="F73" s="29">
        <f>-5.2</f>
        <v>-5.2</v>
      </c>
      <c r="G73" s="31">
        <v>45696</v>
      </c>
      <c r="H73" s="51">
        <f t="shared" si="6"/>
        <v>-5.2087871056070698E-2</v>
      </c>
      <c r="I73" s="29">
        <f>-4.1</f>
        <v>-4.0999999999999996</v>
      </c>
      <c r="J73" s="31">
        <v>100.45</v>
      </c>
      <c r="K73" s="51">
        <f t="shared" si="7"/>
        <v>-4.0500525360588353E-2</v>
      </c>
      <c r="L73" s="29">
        <f>0.7</f>
        <v>0.7</v>
      </c>
      <c r="M73" s="30">
        <v>0.7</v>
      </c>
      <c r="N73" s="29">
        <f>9.3</f>
        <v>9.3000000000000007</v>
      </c>
      <c r="O73" s="29">
        <v>2200510.9</v>
      </c>
      <c r="P73" s="51">
        <f t="shared" si="5"/>
        <v>9.2642409380520652E-2</v>
      </c>
      <c r="Q73" s="29">
        <f>4.6</f>
        <v>4.5999999999999996</v>
      </c>
      <c r="R73" s="43">
        <v>100.1</v>
      </c>
      <c r="S73" s="32">
        <f t="shared" si="8"/>
        <v>4.9266247379454807E-2</v>
      </c>
      <c r="T73" s="54" t="e">
        <f>VLOOKUP(A73,[1]인포맥스!$A:$I,9,0)</f>
        <v>#N/A</v>
      </c>
      <c r="U73" s="70" t="e">
        <f t="shared" si="9"/>
        <v>#N/A</v>
      </c>
    </row>
    <row r="74" spans="1:21" x14ac:dyDescent="0.25">
      <c r="A74" s="3">
        <v>42185</v>
      </c>
      <c r="B74" s="29">
        <f>74</f>
        <v>74</v>
      </c>
      <c r="C74" s="29">
        <v>66</v>
      </c>
      <c r="D74" s="50">
        <f>52.6</f>
        <v>52.6</v>
      </c>
      <c r="E74" s="30">
        <v>52.6</v>
      </c>
      <c r="F74" s="29">
        <f>-2.7</f>
        <v>-2.7</v>
      </c>
      <c r="G74" s="31">
        <v>46555</v>
      </c>
      <c r="H74" s="51">
        <f t="shared" si="6"/>
        <v>-2.6616208078949568E-2</v>
      </c>
      <c r="I74" s="29">
        <f>-3.6</f>
        <v>-3.6</v>
      </c>
      <c r="J74" s="31">
        <v>100.82</v>
      </c>
      <c r="K74" s="51">
        <f t="shared" si="7"/>
        <v>-3.6229805945894332E-2</v>
      </c>
      <c r="L74" s="29">
        <f>0.7</f>
        <v>0.7</v>
      </c>
      <c r="M74" s="30">
        <v>0.7</v>
      </c>
      <c r="N74" s="29">
        <f>9</f>
        <v>9</v>
      </c>
      <c r="O74" s="29">
        <v>2179561.1</v>
      </c>
      <c r="P74" s="51">
        <f t="shared" si="5"/>
        <v>9.0120504079197125E-2</v>
      </c>
      <c r="Q74" s="29">
        <f>4.6</f>
        <v>4.5999999999999996</v>
      </c>
      <c r="R74" s="43">
        <v>99.9</v>
      </c>
      <c r="S74" s="32">
        <f t="shared" si="8"/>
        <v>4.936974789915969E-2</v>
      </c>
      <c r="T74" s="54" t="e">
        <f>VLOOKUP(A74,[1]인포맥스!$A:$I,9,0)</f>
        <v>#N/A</v>
      </c>
      <c r="U74" s="70" t="e">
        <f t="shared" si="9"/>
        <v>#N/A</v>
      </c>
    </row>
    <row r="75" spans="1:21" x14ac:dyDescent="0.25">
      <c r="A75" s="3">
        <v>42155</v>
      </c>
      <c r="B75" s="29">
        <f>83</f>
        <v>83</v>
      </c>
      <c r="C75" s="29">
        <v>75</v>
      </c>
      <c r="D75" s="50">
        <f>52.7</f>
        <v>52.7</v>
      </c>
      <c r="E75" s="30">
        <v>52.7</v>
      </c>
      <c r="F75" s="29">
        <f>-11</f>
        <v>-11</v>
      </c>
      <c r="G75" s="31">
        <v>42327</v>
      </c>
      <c r="H75" s="51">
        <f t="shared" si="6"/>
        <v>-0.11036613560889487</v>
      </c>
      <c r="I75" s="29">
        <f>-3.5</f>
        <v>-3.5</v>
      </c>
      <c r="J75" s="31">
        <v>100.87</v>
      </c>
      <c r="K75" s="51">
        <f t="shared" si="7"/>
        <v>-3.5290742157612832E-2</v>
      </c>
      <c r="L75" s="29">
        <f>0.6</f>
        <v>0.6</v>
      </c>
      <c r="M75" s="30">
        <v>0.6</v>
      </c>
      <c r="N75" s="29">
        <f>9.3</f>
        <v>9.3000000000000007</v>
      </c>
      <c r="O75" s="29">
        <v>2166741.1</v>
      </c>
      <c r="P75" s="51">
        <f t="shared" si="5"/>
        <v>9.299386917080793E-2</v>
      </c>
      <c r="Q75" s="29">
        <f>4.7</f>
        <v>4.7</v>
      </c>
      <c r="R75" s="43">
        <v>99.6</v>
      </c>
      <c r="S75" s="32">
        <f t="shared" si="8"/>
        <v>4.8421052631578886E-2</v>
      </c>
      <c r="T75" s="54" t="e">
        <f>VLOOKUP(A75,[1]인포맥스!$A:$I,9,0)</f>
        <v>#N/A</v>
      </c>
      <c r="U75" s="70" t="e">
        <f t="shared" si="9"/>
        <v>#N/A</v>
      </c>
    </row>
    <row r="76" spans="1:21" x14ac:dyDescent="0.25">
      <c r="A76" s="3">
        <v>42124</v>
      </c>
      <c r="B76" s="29">
        <f>88</f>
        <v>88</v>
      </c>
      <c r="C76" s="29">
        <v>78</v>
      </c>
      <c r="D76" s="50">
        <f>52.1</f>
        <v>52.1</v>
      </c>
      <c r="E76" s="30">
        <v>52.1</v>
      </c>
      <c r="F76" s="29">
        <f>-8</f>
        <v>-8</v>
      </c>
      <c r="G76" s="31">
        <v>46222</v>
      </c>
      <c r="H76" s="51">
        <f t="shared" si="6"/>
        <v>-8.0470288658563274E-2</v>
      </c>
      <c r="I76" s="29">
        <f>-3.6</f>
        <v>-3.6</v>
      </c>
      <c r="J76" s="31">
        <v>100.8</v>
      </c>
      <c r="K76" s="51">
        <f t="shared" si="7"/>
        <v>-3.6144578313253024E-2</v>
      </c>
      <c r="L76" s="29">
        <f>0.4</f>
        <v>0.4</v>
      </c>
      <c r="M76" s="30">
        <v>0.4</v>
      </c>
      <c r="N76" s="29">
        <f>9</f>
        <v>9</v>
      </c>
      <c r="O76" s="29">
        <v>2148114.7000000002</v>
      </c>
      <c r="P76" s="51">
        <f t="shared" si="5"/>
        <v>9.02134410252413E-2</v>
      </c>
      <c r="Q76" s="29">
        <f>4.4</f>
        <v>4.4000000000000004</v>
      </c>
      <c r="R76" s="43">
        <v>99</v>
      </c>
      <c r="S76" s="32">
        <f t="shared" si="8"/>
        <v>4.5406546990496274E-2</v>
      </c>
      <c r="T76" s="54" t="e">
        <f>VLOOKUP(A76,[1]인포맥스!$A:$I,9,0)</f>
        <v>#N/A</v>
      </c>
      <c r="U76" s="70" t="e">
        <f t="shared" si="9"/>
        <v>#N/A</v>
      </c>
    </row>
    <row r="77" spans="1:21" x14ac:dyDescent="0.25">
      <c r="A77" s="3">
        <v>42094</v>
      </c>
      <c r="B77" s="29">
        <f>83</f>
        <v>83</v>
      </c>
      <c r="C77" s="29">
        <v>74</v>
      </c>
      <c r="D77" s="50">
        <f>52.3</f>
        <v>52.3</v>
      </c>
      <c r="E77" s="30">
        <v>52.3</v>
      </c>
      <c r="F77" s="29">
        <f>-4.6</f>
        <v>-4.5999999999999996</v>
      </c>
      <c r="G77" s="31">
        <v>46823</v>
      </c>
      <c r="H77" s="51">
        <f t="shared" si="6"/>
        <v>-4.5713936330656665E-2</v>
      </c>
      <c r="I77" s="29">
        <f>-3.7</f>
        <v>-3.7</v>
      </c>
      <c r="J77" s="31">
        <v>100.84</v>
      </c>
      <c r="K77" s="51">
        <f t="shared" si="7"/>
        <v>-3.7235058239449989E-2</v>
      </c>
      <c r="L77" s="29">
        <f>0.5</f>
        <v>0.5</v>
      </c>
      <c r="M77" s="30">
        <v>0.5</v>
      </c>
      <c r="N77" s="29">
        <f>8.3</f>
        <v>8.3000000000000007</v>
      </c>
      <c r="O77" s="29">
        <v>2127887.7999999998</v>
      </c>
      <c r="P77" s="51">
        <f t="shared" si="5"/>
        <v>8.2919905504149113E-2</v>
      </c>
      <c r="Q77" s="29">
        <f>4.4</f>
        <v>4.4000000000000004</v>
      </c>
      <c r="R77" s="43">
        <v>98.6</v>
      </c>
      <c r="S77" s="32">
        <f t="shared" si="8"/>
        <v>4.4491525423728688E-2</v>
      </c>
      <c r="T77" s="54" t="e">
        <f>VLOOKUP(A77,[1]인포맥스!$A:$I,9,0)</f>
        <v>#N/A</v>
      </c>
      <c r="U77" s="70" t="e">
        <f t="shared" si="9"/>
        <v>#N/A</v>
      </c>
    </row>
    <row r="78" spans="1:21" x14ac:dyDescent="0.25">
      <c r="A78" s="3">
        <v>42063</v>
      </c>
      <c r="B78" s="29">
        <f>84</f>
        <v>84</v>
      </c>
      <c r="C78" s="29">
        <v>71</v>
      </c>
      <c r="D78" s="50">
        <f>53.1</f>
        <v>53.1</v>
      </c>
      <c r="E78" s="30">
        <v>53.1</v>
      </c>
      <c r="F78" s="29">
        <f>-3.4</f>
        <v>-3.4</v>
      </c>
      <c r="G78" s="31">
        <v>41472</v>
      </c>
      <c r="H78" s="51">
        <f t="shared" si="6"/>
        <v>-3.3557046979865772E-2</v>
      </c>
      <c r="I78" s="29">
        <f>-3.6</f>
        <v>-3.6</v>
      </c>
      <c r="J78" s="31">
        <v>100.96</v>
      </c>
      <c r="K78" s="51">
        <f t="shared" si="7"/>
        <v>-3.645733918686779E-2</v>
      </c>
      <c r="L78" s="29">
        <f>0.6</f>
        <v>0.6</v>
      </c>
      <c r="M78" s="30">
        <v>0.6</v>
      </c>
      <c r="N78" s="29">
        <f>8</f>
        <v>8</v>
      </c>
      <c r="O78" s="29">
        <v>2109892.2999999998</v>
      </c>
      <c r="P78" s="51">
        <f t="shared" si="5"/>
        <v>7.9592877536654616E-2</v>
      </c>
      <c r="Q78" s="29">
        <f>4.2</f>
        <v>4.2</v>
      </c>
      <c r="R78" s="43">
        <v>98.2</v>
      </c>
      <c r="S78" s="32">
        <f t="shared" si="8"/>
        <v>4.2462845010615709E-2</v>
      </c>
      <c r="T78" s="54" t="e">
        <f>VLOOKUP(A78,[1]인포맥스!$A:$I,9,0)</f>
        <v>#N/A</v>
      </c>
      <c r="U78" s="70" t="e">
        <f t="shared" si="9"/>
        <v>#N/A</v>
      </c>
    </row>
    <row r="79" spans="1:21" x14ac:dyDescent="0.25">
      <c r="A79" s="3">
        <v>42035</v>
      </c>
      <c r="B79" s="29">
        <f>84</f>
        <v>84</v>
      </c>
      <c r="C79" s="29">
        <v>71</v>
      </c>
      <c r="D79" s="50">
        <f>54</f>
        <v>54</v>
      </c>
      <c r="E79" s="30">
        <v>54</v>
      </c>
      <c r="F79" s="29">
        <f>-1</f>
        <v>-1</v>
      </c>
      <c r="G79" s="31">
        <v>45105</v>
      </c>
      <c r="H79" s="51">
        <f t="shared" si="6"/>
        <v>-1.0052015890086254E-2</v>
      </c>
      <c r="I79" s="29">
        <f>-3.6</f>
        <v>-3.6</v>
      </c>
      <c r="J79" s="31">
        <v>100.89</v>
      </c>
      <c r="K79" s="51">
        <f t="shared" si="7"/>
        <v>-3.5929288103201194E-2</v>
      </c>
      <c r="L79" s="29">
        <f>1</f>
        <v>1</v>
      </c>
      <c r="M79" s="30">
        <v>1</v>
      </c>
      <c r="N79" s="29">
        <f>8</f>
        <v>8</v>
      </c>
      <c r="O79" s="29">
        <v>2092223.5</v>
      </c>
      <c r="P79" s="51">
        <f t="shared" si="5"/>
        <v>8.0110607618116947E-2</v>
      </c>
      <c r="Q79" s="29">
        <f>4.2</f>
        <v>4.2</v>
      </c>
      <c r="R79" s="43">
        <v>97.8</v>
      </c>
      <c r="S79" s="32">
        <f t="shared" si="8"/>
        <v>4.0425531914893585E-2</v>
      </c>
      <c r="T79" s="54" t="e">
        <f>VLOOKUP(A79,[1]인포맥스!$A:$I,9,0)</f>
        <v>#N/A</v>
      </c>
      <c r="U79" s="70" t="e">
        <f t="shared" si="9"/>
        <v>#N/A</v>
      </c>
    </row>
    <row r="80" spans="1:21" x14ac:dyDescent="0.25">
      <c r="A80" s="3">
        <v>42004</v>
      </c>
      <c r="B80" s="29">
        <f>83</f>
        <v>83</v>
      </c>
      <c r="C80" s="29">
        <v>71</v>
      </c>
      <c r="D80" s="50">
        <f>55.7</f>
        <v>55.7</v>
      </c>
      <c r="E80" s="30">
        <v>55.7</v>
      </c>
      <c r="F80" s="29">
        <f>3.1</f>
        <v>3.1</v>
      </c>
      <c r="G80" s="31">
        <v>49704</v>
      </c>
      <c r="H80" s="51">
        <f t="shared" si="6"/>
        <v>3.521962801741195E-2</v>
      </c>
      <c r="I80" s="29">
        <f>-2.1</f>
        <v>-2.1</v>
      </c>
      <c r="J80" s="31">
        <v>102.14</v>
      </c>
      <c r="K80" s="51">
        <f t="shared" si="7"/>
        <v>-2.1366292996071706E-2</v>
      </c>
      <c r="L80" s="29">
        <f>0.8</f>
        <v>0.8</v>
      </c>
      <c r="M80" s="30">
        <v>0.8</v>
      </c>
      <c r="N80" s="29">
        <f>8.1</f>
        <v>8.1</v>
      </c>
      <c r="O80" s="29">
        <v>2088729.8</v>
      </c>
      <c r="P80" s="51">
        <f t="shared" si="5"/>
        <v>8.1108311977517569E-2</v>
      </c>
      <c r="Q80" s="29">
        <f>3.9</f>
        <v>3.9</v>
      </c>
      <c r="R80" s="43">
        <v>97.3</v>
      </c>
      <c r="S80" s="32">
        <f t="shared" si="8"/>
        <v>3.8420490928495137E-2</v>
      </c>
      <c r="T80" s="54" t="e">
        <f>VLOOKUP(A80,[1]인포맥스!$A:$I,9,0)</f>
        <v>#N/A</v>
      </c>
      <c r="U80" s="70" t="e">
        <f t="shared" si="9"/>
        <v>#N/A</v>
      </c>
    </row>
    <row r="81" spans="1:21" x14ac:dyDescent="0.25">
      <c r="A81" s="3">
        <v>41973</v>
      </c>
      <c r="B81" s="29">
        <f>82</f>
        <v>82</v>
      </c>
      <c r="C81" s="29">
        <v>71</v>
      </c>
      <c r="D81" s="50">
        <f>56.3</f>
        <v>56.3</v>
      </c>
      <c r="E81" s="30">
        <v>56.3</v>
      </c>
      <c r="F81" s="29">
        <f>-2.7</f>
        <v>-2.7</v>
      </c>
      <c r="G81" s="31">
        <v>46759</v>
      </c>
      <c r="H81" s="51">
        <f t="shared" si="6"/>
        <v>-2.3371903588286894E-2</v>
      </c>
      <c r="I81" s="29">
        <f>-0.9</f>
        <v>-0.9</v>
      </c>
      <c r="J81" s="31">
        <v>103.15</v>
      </c>
      <c r="K81" s="51">
        <f t="shared" si="7"/>
        <v>-9.4113127820992012E-3</v>
      </c>
      <c r="L81" s="29">
        <f>1</f>
        <v>1</v>
      </c>
      <c r="M81" s="30">
        <v>1</v>
      </c>
      <c r="N81" s="29">
        <f>8.3</f>
        <v>8.3000000000000007</v>
      </c>
      <c r="O81" s="29">
        <v>2083253.5</v>
      </c>
      <c r="P81" s="51">
        <f t="shared" si="5"/>
        <v>8.3144096475546311E-2</v>
      </c>
      <c r="Q81" s="29">
        <f>3.9</f>
        <v>3.9</v>
      </c>
      <c r="R81" s="43">
        <v>97</v>
      </c>
      <c r="S81" s="32">
        <f t="shared" si="8"/>
        <v>3.9657020364415894E-2</v>
      </c>
      <c r="T81" s="54" t="e">
        <f>VLOOKUP(A81,[1]인포맥스!$A:$I,9,0)</f>
        <v>#N/A</v>
      </c>
      <c r="U81" s="70" t="e">
        <f t="shared" si="9"/>
        <v>#N/A</v>
      </c>
    </row>
    <row r="82" spans="1:21" x14ac:dyDescent="0.25">
      <c r="A82" s="3">
        <v>41943</v>
      </c>
      <c r="B82" s="29">
        <f>81</f>
        <v>81</v>
      </c>
      <c r="C82" s="29">
        <v>69</v>
      </c>
      <c r="D82" s="50">
        <f>56.2</f>
        <v>56.2</v>
      </c>
      <c r="E82" s="30">
        <v>56.2</v>
      </c>
      <c r="F82" s="29">
        <f>2.3</f>
        <v>2.2999999999999998</v>
      </c>
      <c r="G82" s="31">
        <v>51643</v>
      </c>
      <c r="H82" s="51">
        <f t="shared" si="6"/>
        <v>2.2896983381860678E-2</v>
      </c>
      <c r="I82" s="29">
        <f>-0.8</f>
        <v>-0.8</v>
      </c>
      <c r="J82" s="31">
        <v>103.47</v>
      </c>
      <c r="K82" s="51">
        <f t="shared" si="7"/>
        <v>-8.3381253594019978E-3</v>
      </c>
      <c r="L82" s="29">
        <f>1.1</f>
        <v>1.1000000000000001</v>
      </c>
      <c r="M82" s="30">
        <v>1.1000000000000001</v>
      </c>
      <c r="N82" s="29">
        <f>7.5</f>
        <v>7.5</v>
      </c>
      <c r="O82" s="29">
        <v>2051149.8</v>
      </c>
      <c r="P82" s="51">
        <f t="shared" si="5"/>
        <v>7.4712023362564453E-2</v>
      </c>
      <c r="Q82" s="29">
        <f>3.9</f>
        <v>3.9</v>
      </c>
      <c r="R82" s="43">
        <v>96.7</v>
      </c>
      <c r="S82" s="32">
        <f t="shared" si="8"/>
        <v>4.0904198062432694E-2</v>
      </c>
      <c r="T82" s="54" t="e">
        <f>VLOOKUP(A82,[1]인포맥스!$A:$I,9,0)</f>
        <v>#N/A</v>
      </c>
      <c r="U82" s="70" t="e">
        <f t="shared" si="9"/>
        <v>#N/A</v>
      </c>
    </row>
    <row r="83" spans="1:21" x14ac:dyDescent="0.25">
      <c r="A83" s="3">
        <v>41912</v>
      </c>
      <c r="B83" s="29">
        <f>80</f>
        <v>80</v>
      </c>
      <c r="C83" s="29">
        <v>72</v>
      </c>
      <c r="D83" s="50">
        <f>55.7</f>
        <v>55.7</v>
      </c>
      <c r="E83" s="30">
        <v>55.7</v>
      </c>
      <c r="F83" s="29">
        <f>6.3</f>
        <v>6.3</v>
      </c>
      <c r="G83" s="31">
        <v>47448</v>
      </c>
      <c r="H83" s="51">
        <f t="shared" si="6"/>
        <v>6.2451017711995342E-2</v>
      </c>
      <c r="I83" s="29">
        <f>-0.5</f>
        <v>-0.5</v>
      </c>
      <c r="J83" s="31">
        <v>104.2</v>
      </c>
      <c r="K83" s="51">
        <f t="shared" si="7"/>
        <v>-4.8705949766019571E-3</v>
      </c>
      <c r="L83" s="29">
        <f>1.1</f>
        <v>1.1000000000000001</v>
      </c>
      <c r="M83" s="30">
        <v>1.1000000000000001</v>
      </c>
      <c r="N83" s="29">
        <f>7.1</f>
        <v>7.1</v>
      </c>
      <c r="O83" s="29">
        <v>2037600.8</v>
      </c>
      <c r="P83" s="51">
        <f t="shared" si="5"/>
        <v>7.0625583790474386E-2</v>
      </c>
      <c r="Q83" s="29">
        <f>4</f>
        <v>4</v>
      </c>
      <c r="R83" s="43">
        <v>96.3</v>
      </c>
      <c r="S83" s="32">
        <f t="shared" si="8"/>
        <v>4.2207792207792111E-2</v>
      </c>
      <c r="T83" s="54" t="e">
        <f>VLOOKUP(A83,[1]인포맥스!$A:$I,9,0)</f>
        <v>#N/A</v>
      </c>
      <c r="U83" s="70" t="e">
        <f t="shared" si="9"/>
        <v>#N/A</v>
      </c>
    </row>
    <row r="84" spans="1:21" x14ac:dyDescent="0.25">
      <c r="A84" s="3">
        <v>41882</v>
      </c>
      <c r="B84" s="29">
        <f>80</f>
        <v>80</v>
      </c>
      <c r="C84" s="29">
        <v>70</v>
      </c>
      <c r="D84" s="50">
        <f>56.3</f>
        <v>56.3</v>
      </c>
      <c r="E84" s="30">
        <v>56.3</v>
      </c>
      <c r="F84" s="29">
        <f>-0.4</f>
        <v>-0.4</v>
      </c>
      <c r="G84" s="31">
        <v>46116</v>
      </c>
      <c r="H84" s="51">
        <f t="shared" si="6"/>
        <v>-3.8880248833592537E-3</v>
      </c>
      <c r="I84" s="29">
        <f>-0.2</f>
        <v>-0.2</v>
      </c>
      <c r="J84" s="31">
        <v>104.58</v>
      </c>
      <c r="K84" s="51">
        <f t="shared" si="7"/>
        <v>-2.2896393817973182E-3</v>
      </c>
      <c r="L84" s="29">
        <f>1.4</f>
        <v>1.4</v>
      </c>
      <c r="M84" s="30">
        <v>1.4</v>
      </c>
      <c r="N84" s="29">
        <f>7.6</f>
        <v>7.6</v>
      </c>
      <c r="O84" s="29">
        <v>2031777.2</v>
      </c>
      <c r="P84" s="51">
        <f t="shared" si="5"/>
        <v>7.5778023172427614E-2</v>
      </c>
      <c r="Q84" s="29">
        <f>3.8</f>
        <v>3.8</v>
      </c>
      <c r="R84" s="43">
        <v>95.8</v>
      </c>
      <c r="S84" s="32">
        <f t="shared" si="8"/>
        <v>3.6796536796536702E-2</v>
      </c>
      <c r="T84" s="54" t="e">
        <f>VLOOKUP(A84,[1]인포맥스!$A:$I,9,0)</f>
        <v>#N/A</v>
      </c>
      <c r="U84" s="70" t="e">
        <f t="shared" si="9"/>
        <v>#N/A</v>
      </c>
    </row>
    <row r="85" spans="1:21" x14ac:dyDescent="0.25">
      <c r="A85" s="3">
        <v>41851</v>
      </c>
      <c r="B85" s="29">
        <f>81</f>
        <v>81</v>
      </c>
      <c r="C85" s="29">
        <v>70</v>
      </c>
      <c r="D85" s="50">
        <f>55.1</f>
        <v>55.1</v>
      </c>
      <c r="E85" s="30">
        <v>55.1</v>
      </c>
      <c r="F85" s="29">
        <f>5.2</f>
        <v>5.2</v>
      </c>
      <c r="G85" s="31">
        <v>48207</v>
      </c>
      <c r="H85" s="51">
        <f t="shared" si="6"/>
        <v>5.1888542189443367E-2</v>
      </c>
      <c r="I85" s="29">
        <f>0.2</f>
        <v>0.2</v>
      </c>
      <c r="J85" s="31">
        <v>104.69</v>
      </c>
      <c r="K85" s="51">
        <f t="shared" si="7"/>
        <v>1.5306610542427685E-3</v>
      </c>
      <c r="L85" s="29">
        <f>1.6</f>
        <v>1.6</v>
      </c>
      <c r="M85" s="30">
        <v>1.6</v>
      </c>
      <c r="N85" s="29">
        <f>6.5</f>
        <v>6.5</v>
      </c>
      <c r="O85" s="29">
        <v>2013935.1</v>
      </c>
      <c r="P85" s="51">
        <f t="shared" si="5"/>
        <v>6.5163503635582598E-2</v>
      </c>
      <c r="Q85" s="29">
        <f>3.7</f>
        <v>3.7</v>
      </c>
      <c r="R85" s="43">
        <v>95.4</v>
      </c>
      <c r="S85" s="32">
        <f t="shared" si="8"/>
        <v>3.6956521739130499E-2</v>
      </c>
      <c r="T85" s="54" t="e">
        <f>VLOOKUP(A85,[1]인포맥스!$A:$I,9,0)</f>
        <v>#N/A</v>
      </c>
      <c r="U85" s="70" t="e">
        <f t="shared" si="9"/>
        <v>#N/A</v>
      </c>
    </row>
    <row r="86" spans="1:21" x14ac:dyDescent="0.25">
      <c r="A86" s="3">
        <v>41820</v>
      </c>
      <c r="B86" s="29">
        <f>81</f>
        <v>81</v>
      </c>
      <c r="C86" s="29">
        <v>71</v>
      </c>
      <c r="D86" s="50">
        <f>55</f>
        <v>55</v>
      </c>
      <c r="E86" s="30">
        <v>55</v>
      </c>
      <c r="F86" s="29">
        <f>2.4</f>
        <v>2.4</v>
      </c>
      <c r="G86" s="31">
        <v>47828</v>
      </c>
      <c r="H86" s="51">
        <f t="shared" si="6"/>
        <v>2.4483238727642711E-2</v>
      </c>
      <c r="I86" s="29">
        <f>0.1</f>
        <v>0.1</v>
      </c>
      <c r="J86" s="31">
        <v>104.61</v>
      </c>
      <c r="K86" s="51">
        <f t="shared" si="7"/>
        <v>5.7388809182211647E-4</v>
      </c>
      <c r="L86" s="29">
        <f>1.7</f>
        <v>1.7</v>
      </c>
      <c r="M86" s="30">
        <v>1.7</v>
      </c>
      <c r="N86" s="29">
        <f>6.1</f>
        <v>6.1</v>
      </c>
      <c r="O86" s="29">
        <v>1999376.3</v>
      </c>
      <c r="P86" s="51">
        <f t="shared" si="5"/>
        <v>6.1131257665084503E-2</v>
      </c>
      <c r="Q86" s="29">
        <f>4</f>
        <v>4</v>
      </c>
      <c r="R86" s="43">
        <v>95.2</v>
      </c>
      <c r="S86" s="32">
        <f t="shared" si="8"/>
        <v>3.9301310043668221E-2</v>
      </c>
      <c r="T86" s="54" t="e">
        <f>VLOOKUP(A86,[1]인포맥스!$A:$I,9,0)</f>
        <v>#N/A</v>
      </c>
      <c r="U86" s="70" t="e">
        <f t="shared" si="9"/>
        <v>#N/A</v>
      </c>
    </row>
    <row r="87" spans="1:21" x14ac:dyDescent="0.25">
      <c r="A87" s="3">
        <v>41790</v>
      </c>
      <c r="B87" s="29">
        <f>84</f>
        <v>84</v>
      </c>
      <c r="C87" s="29">
        <v>74</v>
      </c>
      <c r="D87" s="50">
        <f>55.7</f>
        <v>55.7</v>
      </c>
      <c r="E87" s="30">
        <v>55.7</v>
      </c>
      <c r="F87" s="29">
        <f>-1.5</f>
        <v>-1.5</v>
      </c>
      <c r="G87" s="31">
        <v>47578</v>
      </c>
      <c r="H87" s="51">
        <f t="shared" si="6"/>
        <v>-1.5131755987497154E-2</v>
      </c>
      <c r="I87" s="29">
        <f>0</f>
        <v>0</v>
      </c>
      <c r="J87" s="31">
        <v>104.56</v>
      </c>
      <c r="K87" s="51">
        <f t="shared" si="7"/>
        <v>-9.5629721717422833E-5</v>
      </c>
      <c r="L87" s="29">
        <f>1.7</f>
        <v>1.7</v>
      </c>
      <c r="M87" s="30">
        <v>1.7</v>
      </c>
      <c r="N87" s="29">
        <f>6</f>
        <v>6</v>
      </c>
      <c r="O87" s="29">
        <v>1982390.9</v>
      </c>
      <c r="P87" s="51">
        <f t="shared" si="5"/>
        <v>5.9937880211819568E-2</v>
      </c>
      <c r="Q87" s="29">
        <f>4</f>
        <v>4</v>
      </c>
      <c r="R87" s="43">
        <v>95</v>
      </c>
      <c r="S87" s="32">
        <f t="shared" si="8"/>
        <v>4.5104510451045042E-2</v>
      </c>
      <c r="T87" s="54" t="e">
        <f>VLOOKUP(A87,[1]인포맥스!$A:$I,9,0)</f>
        <v>#N/A</v>
      </c>
      <c r="U87" s="70" t="e">
        <f t="shared" si="9"/>
        <v>#N/A</v>
      </c>
    </row>
    <row r="88" spans="1:21" x14ac:dyDescent="0.25">
      <c r="A88" s="3">
        <v>41759</v>
      </c>
      <c r="B88" s="29">
        <f>86</f>
        <v>86</v>
      </c>
      <c r="C88" s="29">
        <v>77</v>
      </c>
      <c r="D88" s="50">
        <f>56.6</f>
        <v>56.6</v>
      </c>
      <c r="E88" s="30">
        <v>56.6</v>
      </c>
      <c r="F88" s="29">
        <f>8.9</f>
        <v>8.9</v>
      </c>
      <c r="G88" s="31">
        <v>50267</v>
      </c>
      <c r="H88" s="51">
        <f t="shared" si="6"/>
        <v>8.8855193328279E-2</v>
      </c>
      <c r="I88" s="29">
        <f>-0.3</f>
        <v>-0.3</v>
      </c>
      <c r="J88" s="31">
        <v>104.58</v>
      </c>
      <c r="K88" s="51">
        <f t="shared" si="7"/>
        <v>-3.3355570380254312E-3</v>
      </c>
      <c r="L88" s="29">
        <f>1.5</f>
        <v>1.5</v>
      </c>
      <c r="M88" s="30">
        <v>1.5</v>
      </c>
      <c r="N88" s="29">
        <f>5.5</f>
        <v>5.5</v>
      </c>
      <c r="O88" s="29">
        <v>1970361.6</v>
      </c>
      <c r="P88" s="51">
        <f t="shared" si="5"/>
        <v>5.4952002335674155E-2</v>
      </c>
      <c r="Q88" s="29">
        <f>4.2</f>
        <v>4.2</v>
      </c>
      <c r="R88" s="43">
        <v>94.7</v>
      </c>
      <c r="S88" s="32">
        <f t="shared" si="8"/>
        <v>4.6408839779005555E-2</v>
      </c>
      <c r="T88" s="54" t="e">
        <f>VLOOKUP(A88,[1]인포맥스!$A:$I,9,0)</f>
        <v>#N/A</v>
      </c>
      <c r="U88" s="70" t="e">
        <f t="shared" si="9"/>
        <v>#N/A</v>
      </c>
    </row>
    <row r="89" spans="1:21" x14ac:dyDescent="0.25">
      <c r="A89" s="3">
        <v>41729</v>
      </c>
      <c r="B89" s="29">
        <f>83</f>
        <v>83</v>
      </c>
      <c r="C89" s="29">
        <v>75</v>
      </c>
      <c r="D89" s="50">
        <f>55.9</f>
        <v>55.9</v>
      </c>
      <c r="E89" s="30">
        <v>55.9</v>
      </c>
      <c r="F89" s="29">
        <f>3.7</f>
        <v>3.7</v>
      </c>
      <c r="G89" s="31">
        <v>49066</v>
      </c>
      <c r="H89" s="51">
        <f t="shared" si="6"/>
        <v>3.6941544443974808E-2</v>
      </c>
      <c r="I89" s="29">
        <f>-0.5</f>
        <v>-0.5</v>
      </c>
      <c r="J89" s="31">
        <v>104.74</v>
      </c>
      <c r="K89" s="51">
        <f t="shared" si="7"/>
        <v>-4.94014820444623E-3</v>
      </c>
      <c r="L89" s="29">
        <f>1.3</f>
        <v>1.3</v>
      </c>
      <c r="M89" s="30">
        <v>1.3</v>
      </c>
      <c r="N89" s="29">
        <f>5.5</f>
        <v>5.5</v>
      </c>
      <c r="O89" s="29">
        <v>1964954</v>
      </c>
      <c r="P89" s="51">
        <f t="shared" si="5"/>
        <v>5.5062391085077871E-2</v>
      </c>
      <c r="Q89" s="29">
        <f>4.2</f>
        <v>4.2</v>
      </c>
      <c r="R89" s="43">
        <v>94.4</v>
      </c>
      <c r="S89" s="32">
        <f t="shared" si="8"/>
        <v>4.5404208194905968E-2</v>
      </c>
      <c r="T89" s="54" t="e">
        <f>VLOOKUP(A89,[1]인포맥스!$A:$I,9,0)</f>
        <v>#N/A</v>
      </c>
      <c r="U89" s="70" t="e">
        <f t="shared" si="9"/>
        <v>#N/A</v>
      </c>
    </row>
    <row r="90" spans="1:21" x14ac:dyDescent="0.25">
      <c r="A90" s="3">
        <v>41698</v>
      </c>
      <c r="B90" s="29">
        <f>83</f>
        <v>83</v>
      </c>
      <c r="C90" s="29">
        <v>74</v>
      </c>
      <c r="D90" s="50">
        <f>55</f>
        <v>55</v>
      </c>
      <c r="E90" s="30">
        <v>55</v>
      </c>
      <c r="F90" s="29">
        <f>1.4</f>
        <v>1.4</v>
      </c>
      <c r="G90" s="31">
        <v>42912</v>
      </c>
      <c r="H90" s="51">
        <f t="shared" si="6"/>
        <v>1.3605442176870748E-2</v>
      </c>
      <c r="I90" s="29">
        <f>-0.9</f>
        <v>-0.9</v>
      </c>
      <c r="J90" s="31">
        <v>104.78</v>
      </c>
      <c r="K90" s="51">
        <f t="shared" si="7"/>
        <v>-8.5162755488266996E-3</v>
      </c>
      <c r="L90" s="29">
        <f>1</f>
        <v>1</v>
      </c>
      <c r="M90" s="30">
        <v>1</v>
      </c>
      <c r="N90" s="29">
        <f>5.2</f>
        <v>5.2</v>
      </c>
      <c r="O90" s="29">
        <v>1954340.7</v>
      </c>
      <c r="P90" s="51">
        <f t="shared" si="5"/>
        <v>5.2341752215105501E-2</v>
      </c>
      <c r="Q90" s="29">
        <f>4.4</f>
        <v>4.4000000000000004</v>
      </c>
      <c r="R90" s="43">
        <v>94.2</v>
      </c>
      <c r="S90" s="32">
        <f t="shared" si="8"/>
        <v>4.6666666666666697E-2</v>
      </c>
      <c r="T90" s="54" t="e">
        <f>VLOOKUP(A90,[1]인포맥스!$A:$I,9,0)</f>
        <v>#N/A</v>
      </c>
      <c r="U90" s="70" t="e">
        <f t="shared" si="9"/>
        <v>#N/A</v>
      </c>
    </row>
    <row r="91" spans="1:21" x14ac:dyDescent="0.25">
      <c r="A91" s="3">
        <v>41670</v>
      </c>
      <c r="B91" s="29">
        <f>83</f>
        <v>83</v>
      </c>
      <c r="C91" s="29">
        <v>72</v>
      </c>
      <c r="D91" s="50">
        <f>52.5</f>
        <v>52.5</v>
      </c>
      <c r="E91" s="30">
        <v>52.5</v>
      </c>
      <c r="F91" s="29">
        <f>-0.2</f>
        <v>-0.2</v>
      </c>
      <c r="G91" s="31">
        <v>45563</v>
      </c>
      <c r="H91" s="51">
        <f t="shared" si="6"/>
        <v>-2.4302666725051453E-3</v>
      </c>
      <c r="I91" s="29">
        <f>-0.3</f>
        <v>-0.3</v>
      </c>
      <c r="J91" s="31">
        <v>104.65</v>
      </c>
      <c r="K91" s="51">
        <f t="shared" si="7"/>
        <v>-2.953506097560862E-3</v>
      </c>
      <c r="L91" s="29">
        <f>1.1</f>
        <v>1.1000000000000001</v>
      </c>
      <c r="M91" s="30">
        <v>1.1000000000000001</v>
      </c>
      <c r="N91" s="29">
        <f>5.2</f>
        <v>5.2</v>
      </c>
      <c r="O91" s="29">
        <v>1937045.6</v>
      </c>
      <c r="P91" s="51">
        <f t="shared" si="5"/>
        <v>5.2097135446468934E-2</v>
      </c>
      <c r="Q91" s="29">
        <f>4.5</f>
        <v>4.5</v>
      </c>
      <c r="R91" s="43">
        <v>94</v>
      </c>
      <c r="S91" s="32">
        <f t="shared" si="8"/>
        <v>4.6770601336302932E-2</v>
      </c>
      <c r="T91" s="54" t="e">
        <f>VLOOKUP(A91,[1]인포맥스!$A:$I,9,0)</f>
        <v>#N/A</v>
      </c>
      <c r="U91" s="70" t="e">
        <f t="shared" si="9"/>
        <v>#N/A</v>
      </c>
    </row>
    <row r="92" spans="1:21" x14ac:dyDescent="0.25">
      <c r="A92" s="3">
        <v>41639</v>
      </c>
      <c r="B92" s="29">
        <f>82</f>
        <v>82</v>
      </c>
      <c r="C92" s="29">
        <v>73</v>
      </c>
      <c r="D92" s="50">
        <f>56.5</f>
        <v>56.5</v>
      </c>
      <c r="E92" s="30">
        <v>56.5</v>
      </c>
      <c r="F92" s="29">
        <f>6.9</f>
        <v>6.9</v>
      </c>
      <c r="G92" s="31">
        <v>48013</v>
      </c>
      <c r="H92" s="51">
        <f t="shared" si="6"/>
        <v>6.6197370758571683E-2</v>
      </c>
      <c r="I92" s="29">
        <f>-0.4</f>
        <v>-0.4</v>
      </c>
      <c r="J92" s="31">
        <v>104.37</v>
      </c>
      <c r="K92" s="51">
        <f t="shared" si="7"/>
        <v>-4.0080160320641444E-3</v>
      </c>
      <c r="L92" s="29">
        <f>1.1</f>
        <v>1.1000000000000001</v>
      </c>
      <c r="M92" s="30">
        <v>1.1000000000000001</v>
      </c>
      <c r="N92" s="29">
        <f>5.3</f>
        <v>5.3</v>
      </c>
      <c r="O92" s="29">
        <v>1932026.4</v>
      </c>
      <c r="P92" s="51">
        <f t="shared" si="5"/>
        <v>5.2556099193231107E-2</v>
      </c>
      <c r="Q92" s="29">
        <f>4.5</f>
        <v>4.5</v>
      </c>
      <c r="R92" s="43">
        <v>93.7</v>
      </c>
      <c r="S92" s="32">
        <f t="shared" si="8"/>
        <v>4.5758928571428673E-2</v>
      </c>
      <c r="T92" s="54" t="e">
        <f>VLOOKUP(A92,[1]인포맥스!$A:$I,9,0)</f>
        <v>#N/A</v>
      </c>
      <c r="U92" s="70" t="e">
        <f t="shared" si="9"/>
        <v>#N/A</v>
      </c>
    </row>
    <row r="93" spans="1:21" x14ac:dyDescent="0.25">
      <c r="A93" s="3">
        <v>41608</v>
      </c>
      <c r="B93" s="29">
        <f>83</f>
        <v>83</v>
      </c>
      <c r="C93" s="29">
        <v>74</v>
      </c>
      <c r="D93" s="50">
        <f>55.5</f>
        <v>55.5</v>
      </c>
      <c r="E93" s="30">
        <v>55.5</v>
      </c>
      <c r="F93" s="29">
        <f>0.2</f>
        <v>0.2</v>
      </c>
      <c r="G93" s="31">
        <v>47878</v>
      </c>
      <c r="H93" s="51">
        <f t="shared" si="6"/>
        <v>1.8623532612107388E-3</v>
      </c>
      <c r="I93" s="29">
        <f>-0.9</f>
        <v>-0.9</v>
      </c>
      <c r="J93" s="31">
        <v>104.13</v>
      </c>
      <c r="K93" s="51">
        <f t="shared" si="7"/>
        <v>-8.7577344121846906E-3</v>
      </c>
      <c r="L93" s="29">
        <f>1.2</f>
        <v>1.2</v>
      </c>
      <c r="M93" s="30">
        <v>1.2</v>
      </c>
      <c r="N93" s="29">
        <f>5.1</f>
        <v>5.0999999999999996</v>
      </c>
      <c r="O93" s="29">
        <v>1923339.2</v>
      </c>
      <c r="P93" s="51">
        <f t="shared" si="5"/>
        <v>5.0844070167831615E-2</v>
      </c>
      <c r="Q93" s="29">
        <f>4.3</f>
        <v>4.3</v>
      </c>
      <c r="R93" s="43">
        <v>93.3</v>
      </c>
      <c r="S93" s="32">
        <f t="shared" si="8"/>
        <v>4.5964125560538048E-2</v>
      </c>
      <c r="T93" s="54" t="e">
        <f>VLOOKUP(A93,[1]인포맥스!$A:$I,9,0)</f>
        <v>#N/A</v>
      </c>
      <c r="U93" s="70" t="e">
        <f t="shared" si="9"/>
        <v>#N/A</v>
      </c>
    </row>
    <row r="94" spans="1:21" x14ac:dyDescent="0.25">
      <c r="A94" s="3">
        <v>41578</v>
      </c>
      <c r="B94" s="29">
        <f>81</f>
        <v>81</v>
      </c>
      <c r="C94" s="29">
        <v>75</v>
      </c>
      <c r="D94" s="50">
        <f>54.6</f>
        <v>54.6</v>
      </c>
      <c r="E94" s="30">
        <v>54.6</v>
      </c>
      <c r="F94" s="29">
        <f>7.2</f>
        <v>7.2</v>
      </c>
      <c r="G94" s="31">
        <v>50487</v>
      </c>
      <c r="H94" s="51">
        <f t="shared" si="6"/>
        <v>7.2138458271395201E-2</v>
      </c>
      <c r="I94" s="29">
        <f>-1.4</f>
        <v>-1.4</v>
      </c>
      <c r="J94" s="31">
        <v>104.34</v>
      </c>
      <c r="K94" s="51">
        <f t="shared" si="7"/>
        <v>-1.3613159387407805E-2</v>
      </c>
      <c r="L94" s="29">
        <f>0.9</f>
        <v>0.9</v>
      </c>
      <c r="M94" s="30">
        <v>0.9</v>
      </c>
      <c r="N94" s="29">
        <f>4.7</f>
        <v>4.7</v>
      </c>
      <c r="O94" s="29">
        <v>1908557.6</v>
      </c>
      <c r="P94" s="51">
        <f t="shared" si="5"/>
        <v>4.7264986919322641E-2</v>
      </c>
      <c r="Q94" s="29">
        <f>4.1</f>
        <v>4.0999999999999996</v>
      </c>
      <c r="R94" s="43">
        <v>92.9</v>
      </c>
      <c r="S94" s="32">
        <f t="shared" si="8"/>
        <v>4.4994375703037118E-2</v>
      </c>
      <c r="T94" s="54" t="e">
        <f>VLOOKUP(A94,[1]인포맥스!$A:$I,9,0)</f>
        <v>#N/A</v>
      </c>
      <c r="U94" s="70" t="e">
        <f t="shared" si="9"/>
        <v>#N/A</v>
      </c>
    </row>
    <row r="95" spans="1:21" x14ac:dyDescent="0.25">
      <c r="A95" s="3">
        <v>41547</v>
      </c>
      <c r="B95" s="29">
        <f>82</f>
        <v>82</v>
      </c>
      <c r="C95" s="29">
        <v>72</v>
      </c>
      <c r="D95" s="50">
        <f>54.6</f>
        <v>54.6</v>
      </c>
      <c r="E95" s="30">
        <v>54.6</v>
      </c>
      <c r="F95" s="29">
        <f>-1.7</f>
        <v>-1.7</v>
      </c>
      <c r="G95" s="31">
        <v>44659</v>
      </c>
      <c r="H95" s="51">
        <f t="shared" si="6"/>
        <v>-1.6646482439722558E-2</v>
      </c>
      <c r="I95" s="29">
        <f>-1.8</f>
        <v>-1.8</v>
      </c>
      <c r="J95" s="31">
        <v>104.71</v>
      </c>
      <c r="K95" s="51">
        <f t="shared" si="7"/>
        <v>-1.7821967920457798E-2</v>
      </c>
      <c r="L95" s="29">
        <f>1</f>
        <v>1</v>
      </c>
      <c r="M95" s="30">
        <v>1</v>
      </c>
      <c r="N95" s="29">
        <f>4.6</f>
        <v>4.5999999999999996</v>
      </c>
      <c r="O95" s="29">
        <v>1903187.1</v>
      </c>
      <c r="P95" s="51">
        <f t="shared" si="5"/>
        <v>4.6115240224744801E-2</v>
      </c>
      <c r="Q95" s="29">
        <f>4</f>
        <v>4</v>
      </c>
      <c r="R95" s="43">
        <v>92.4</v>
      </c>
      <c r="S95" s="32">
        <f t="shared" si="8"/>
        <v>4.2889390519187491E-2</v>
      </c>
      <c r="T95" s="54" t="e">
        <f>VLOOKUP(A95,[1]인포맥스!$A:$I,9,0)</f>
        <v>#N/A</v>
      </c>
      <c r="U95" s="70" t="e">
        <f t="shared" si="9"/>
        <v>#N/A</v>
      </c>
    </row>
    <row r="96" spans="1:21" x14ac:dyDescent="0.25">
      <c r="A96" s="3">
        <v>41517</v>
      </c>
      <c r="B96" s="29">
        <f>81</f>
        <v>81</v>
      </c>
      <c r="C96" s="29">
        <v>70</v>
      </c>
      <c r="D96" s="50">
        <f>54</f>
        <v>54</v>
      </c>
      <c r="E96" s="30">
        <v>54</v>
      </c>
      <c r="F96" s="29">
        <f>7.6</f>
        <v>7.6</v>
      </c>
      <c r="G96" s="31">
        <v>46296</v>
      </c>
      <c r="H96" s="51">
        <f t="shared" si="6"/>
        <v>7.5500627235980111E-2</v>
      </c>
      <c r="I96" s="29">
        <f>-1.3</f>
        <v>-1.3</v>
      </c>
      <c r="J96" s="31">
        <v>104.82</v>
      </c>
      <c r="K96" s="51">
        <f t="shared" si="7"/>
        <v>-1.3273086698672793E-2</v>
      </c>
      <c r="L96" s="29">
        <f>1.5</f>
        <v>1.5</v>
      </c>
      <c r="M96" s="30">
        <v>1.5</v>
      </c>
      <c r="N96" s="29">
        <f>3.9</f>
        <v>3.9</v>
      </c>
      <c r="O96" s="29">
        <v>1888658.4</v>
      </c>
      <c r="P96" s="51">
        <f t="shared" si="5"/>
        <v>3.9360589023962944E-2</v>
      </c>
      <c r="Q96" s="29">
        <f>4.2</f>
        <v>4.2</v>
      </c>
      <c r="R96" s="43">
        <v>92.4</v>
      </c>
      <c r="S96" s="32">
        <f t="shared" si="8"/>
        <v>4.4067796610169553E-2</v>
      </c>
      <c r="T96" s="54" t="e">
        <f>VLOOKUP(A96,[1]인포맥스!$A:$I,9,0)</f>
        <v>#N/A</v>
      </c>
      <c r="U96" s="70" t="e">
        <f t="shared" si="9"/>
        <v>#N/A</v>
      </c>
    </row>
    <row r="97" spans="1:21" x14ac:dyDescent="0.25">
      <c r="A97" s="3">
        <v>41486</v>
      </c>
      <c r="B97" s="29">
        <f>82</f>
        <v>82</v>
      </c>
      <c r="C97" s="29">
        <v>70</v>
      </c>
      <c r="D97" s="50">
        <f>53.8</f>
        <v>53.8</v>
      </c>
      <c r="E97" s="30">
        <v>53.8</v>
      </c>
      <c r="F97" s="29">
        <f>2.6</f>
        <v>2.6</v>
      </c>
      <c r="G97" s="31">
        <v>45829</v>
      </c>
      <c r="H97" s="51">
        <f t="shared" si="6"/>
        <v>2.5968792675009515E-2</v>
      </c>
      <c r="I97" s="29">
        <f>-1</f>
        <v>-1</v>
      </c>
      <c r="J97" s="31">
        <v>104.53</v>
      </c>
      <c r="K97" s="51">
        <f t="shared" si="7"/>
        <v>-9.94506535328658E-3</v>
      </c>
      <c r="L97" s="29">
        <f>1.6</f>
        <v>1.6</v>
      </c>
      <c r="M97" s="30">
        <v>1.6</v>
      </c>
      <c r="N97" s="29">
        <f>4.6</f>
        <v>4.5999999999999996</v>
      </c>
      <c r="O97" s="29">
        <v>1890728.6</v>
      </c>
      <c r="P97" s="51">
        <f t="shared" si="5"/>
        <v>4.6168261283252368E-2</v>
      </c>
      <c r="Q97" s="29">
        <f>4</f>
        <v>4</v>
      </c>
      <c r="R97" s="43">
        <v>92</v>
      </c>
      <c r="S97" s="32">
        <f t="shared" si="8"/>
        <v>4.072398190045242E-2</v>
      </c>
      <c r="T97" s="54" t="e">
        <f>VLOOKUP(A97,[1]인포맥스!$A:$I,9,0)</f>
        <v>#N/A</v>
      </c>
      <c r="U97" s="70" t="e">
        <f t="shared" si="9"/>
        <v>#N/A</v>
      </c>
    </row>
    <row r="98" spans="1:21" x14ac:dyDescent="0.25">
      <c r="A98" s="3">
        <v>41455</v>
      </c>
      <c r="B98" s="29">
        <f>83</f>
        <v>83</v>
      </c>
      <c r="C98" s="29">
        <v>74</v>
      </c>
      <c r="D98" s="50">
        <f>51.1</f>
        <v>51.1</v>
      </c>
      <c r="E98" s="30">
        <v>51.1</v>
      </c>
      <c r="F98" s="29">
        <f>-1</f>
        <v>-1</v>
      </c>
      <c r="G98" s="31">
        <v>46685</v>
      </c>
      <c r="H98" s="51">
        <f t="shared" si="6"/>
        <v>-1.0323920970066989E-2</v>
      </c>
      <c r="I98" s="29">
        <f>-1.4</f>
        <v>-1.4</v>
      </c>
      <c r="J98" s="31">
        <v>104.55</v>
      </c>
      <c r="K98" s="51">
        <f t="shared" si="7"/>
        <v>-1.4144271570014145E-2</v>
      </c>
      <c r="L98" s="29">
        <f>1.2</f>
        <v>1.2</v>
      </c>
      <c r="M98" s="30">
        <v>1.2</v>
      </c>
      <c r="N98" s="29">
        <f>4.9</f>
        <v>4.9000000000000004</v>
      </c>
      <c r="O98" s="29">
        <v>1884193.2</v>
      </c>
      <c r="P98" s="51">
        <f t="shared" si="5"/>
        <v>4.8532330466395983E-2</v>
      </c>
      <c r="Q98" s="29">
        <f>3.9</f>
        <v>3.9</v>
      </c>
      <c r="R98" s="43">
        <v>91.6</v>
      </c>
      <c r="S98" s="32">
        <f t="shared" si="8"/>
        <v>3.7372593431483546E-2</v>
      </c>
      <c r="T98" s="54" t="e">
        <f>VLOOKUP(A98,[1]인포맥스!$A:$I,9,0)</f>
        <v>#N/A</v>
      </c>
      <c r="U98" s="70" t="e">
        <f t="shared" si="9"/>
        <v>#N/A</v>
      </c>
    </row>
    <row r="99" spans="1:21" x14ac:dyDescent="0.25">
      <c r="A99" s="3">
        <v>41425</v>
      </c>
      <c r="B99" s="29">
        <f>83</f>
        <v>83</v>
      </c>
      <c r="C99" s="29">
        <v>73</v>
      </c>
      <c r="D99" s="50">
        <f>50.8</f>
        <v>50.8</v>
      </c>
      <c r="E99" s="30">
        <v>50.8</v>
      </c>
      <c r="F99" s="29">
        <f>3.1</f>
        <v>3.1</v>
      </c>
      <c r="G99" s="31">
        <v>48309</v>
      </c>
      <c r="H99" s="51">
        <f t="shared" si="6"/>
        <v>2.9757210154967705E-2</v>
      </c>
      <c r="I99" s="29">
        <f>-2.6</f>
        <v>-2.6</v>
      </c>
      <c r="J99" s="31">
        <v>104.57</v>
      </c>
      <c r="K99" s="51">
        <f t="shared" si="7"/>
        <v>-2.5896599906846774E-2</v>
      </c>
      <c r="L99" s="29">
        <f>1.1</f>
        <v>1.1000000000000001</v>
      </c>
      <c r="M99" s="30">
        <v>1.1000000000000001</v>
      </c>
      <c r="N99" s="29">
        <f>4.8</f>
        <v>4.8</v>
      </c>
      <c r="O99" s="29">
        <v>1870289.7</v>
      </c>
      <c r="P99" s="51">
        <f t="shared" si="5"/>
        <v>4.8239104976094578E-2</v>
      </c>
      <c r="Q99" s="29">
        <f>3.5</f>
        <v>3.5</v>
      </c>
      <c r="R99" s="43">
        <v>90.9</v>
      </c>
      <c r="S99" s="32">
        <f t="shared" si="8"/>
        <v>3.2954545454545521E-2</v>
      </c>
      <c r="T99" s="54" t="e">
        <f>VLOOKUP(A99,[1]인포맥스!$A:$I,9,0)</f>
        <v>#N/A</v>
      </c>
      <c r="U99" s="70" t="e">
        <f t="shared" si="9"/>
        <v>#N/A</v>
      </c>
    </row>
    <row r="100" spans="1:21" x14ac:dyDescent="0.25">
      <c r="A100" s="3">
        <v>41394</v>
      </c>
      <c r="B100" s="29">
        <f>83</f>
        <v>83</v>
      </c>
      <c r="C100" s="29">
        <v>73</v>
      </c>
      <c r="D100" s="50">
        <f>51</f>
        <v>51</v>
      </c>
      <c r="E100" s="30">
        <v>51</v>
      </c>
      <c r="F100" s="29">
        <f>0.1</f>
        <v>0.1</v>
      </c>
      <c r="G100" s="31">
        <v>46165</v>
      </c>
      <c r="H100" s="51">
        <f t="shared" si="6"/>
        <v>1.4968760846928149E-3</v>
      </c>
      <c r="I100" s="29">
        <f>-2.8</f>
        <v>-2.8</v>
      </c>
      <c r="J100" s="31">
        <v>104.93</v>
      </c>
      <c r="K100" s="51">
        <f t="shared" si="7"/>
        <v>-2.7975914775358924E-2</v>
      </c>
      <c r="L100" s="29">
        <f>1.3</f>
        <v>1.3</v>
      </c>
      <c r="M100" s="30">
        <v>1.3</v>
      </c>
      <c r="N100" s="29">
        <f>5.1</f>
        <v>5.0999999999999996</v>
      </c>
      <c r="O100" s="29">
        <v>1867726.3</v>
      </c>
      <c r="P100" s="51">
        <f t="shared" si="5"/>
        <v>5.0988042583858036E-2</v>
      </c>
      <c r="Q100" s="29">
        <f>3.3</f>
        <v>3.3</v>
      </c>
      <c r="R100" s="43">
        <v>90.5</v>
      </c>
      <c r="S100" s="32">
        <f t="shared" si="8"/>
        <v>3.0751708428246045E-2</v>
      </c>
      <c r="T100" s="54" t="e">
        <f>VLOOKUP(A100,[1]인포맥스!$A:$I,9,0)</f>
        <v>#N/A</v>
      </c>
      <c r="U100" s="70" t="e">
        <f t="shared" si="9"/>
        <v>#N/A</v>
      </c>
    </row>
    <row r="101" spans="1:21" x14ac:dyDescent="0.25">
      <c r="A101" s="3">
        <v>41364</v>
      </c>
      <c r="B101" s="29">
        <f>80</f>
        <v>80</v>
      </c>
      <c r="C101" s="29">
        <v>71</v>
      </c>
      <c r="D101" s="50">
        <f>51.9</f>
        <v>51.9</v>
      </c>
      <c r="E101" s="30">
        <v>51.9</v>
      </c>
      <c r="F101" s="29">
        <f>0</f>
        <v>0</v>
      </c>
      <c r="G101" s="31">
        <v>47318</v>
      </c>
      <c r="H101" s="51">
        <f t="shared" si="6"/>
        <v>-1.9016628985568491E-4</v>
      </c>
      <c r="I101" s="29">
        <f>-2.4</f>
        <v>-2.4</v>
      </c>
      <c r="J101" s="31">
        <v>105.26</v>
      </c>
      <c r="K101" s="51">
        <f t="shared" si="7"/>
        <v>-2.4467099165894349E-2</v>
      </c>
      <c r="L101" s="29">
        <f>1.5</f>
        <v>1.5</v>
      </c>
      <c r="M101" s="30">
        <v>1.5</v>
      </c>
      <c r="N101" s="29">
        <f>5</f>
        <v>5</v>
      </c>
      <c r="O101" s="29">
        <v>1862405.5</v>
      </c>
      <c r="P101" s="51">
        <f t="shared" si="5"/>
        <v>5.0323688118626274E-2</v>
      </c>
      <c r="Q101" s="29">
        <f>3.4</f>
        <v>3.4</v>
      </c>
      <c r="R101" s="43">
        <v>90.3</v>
      </c>
      <c r="S101" s="32">
        <f t="shared" si="8"/>
        <v>3.1999999999999966E-2</v>
      </c>
      <c r="T101" s="54" t="e">
        <f>VLOOKUP(A101,[1]인포맥스!$A:$I,9,0)</f>
        <v>#N/A</v>
      </c>
      <c r="U101" s="70" t="e">
        <f t="shared" si="9"/>
        <v>#N/A</v>
      </c>
    </row>
    <row r="102" spans="1:21" x14ac:dyDescent="0.25">
      <c r="A102" s="3">
        <v>41333</v>
      </c>
      <c r="B102" s="29">
        <f>80</f>
        <v>80</v>
      </c>
      <c r="C102" s="29">
        <v>68</v>
      </c>
      <c r="D102" s="50">
        <f>54.2</f>
        <v>54.2</v>
      </c>
      <c r="E102" s="30">
        <v>54.2</v>
      </c>
      <c r="F102" s="29">
        <f>-8.6</f>
        <v>-8.6</v>
      </c>
      <c r="G102" s="31">
        <v>42336</v>
      </c>
      <c r="H102" s="51">
        <f t="shared" si="6"/>
        <v>-8.5970896843559741E-2</v>
      </c>
      <c r="I102" s="29">
        <f>-1.6</f>
        <v>-1.6</v>
      </c>
      <c r="J102" s="31">
        <v>105.68</v>
      </c>
      <c r="K102" s="51">
        <f t="shared" si="7"/>
        <v>-1.573996460836358E-2</v>
      </c>
      <c r="L102" s="29">
        <f>1.6</f>
        <v>1.6</v>
      </c>
      <c r="M102" s="30">
        <v>1.6</v>
      </c>
      <c r="N102" s="29">
        <f>5.3</f>
        <v>5.3</v>
      </c>
      <c r="O102" s="29">
        <v>1857135</v>
      </c>
      <c r="P102" s="51">
        <f t="shared" si="5"/>
        <v>5.3401712682851515E-2</v>
      </c>
      <c r="Q102" s="29">
        <f>3.3</f>
        <v>3.3</v>
      </c>
      <c r="R102" s="43">
        <v>90</v>
      </c>
      <c r="S102" s="32">
        <f t="shared" si="8"/>
        <v>3.3295063145809482E-2</v>
      </c>
      <c r="T102" s="54" t="e">
        <f>VLOOKUP(A102,[1]인포맥스!$A:$I,9,0)</f>
        <v>#N/A</v>
      </c>
      <c r="U102" s="70" t="e">
        <f t="shared" si="9"/>
        <v>#N/A</v>
      </c>
    </row>
    <row r="103" spans="1:21" x14ac:dyDescent="0.25">
      <c r="A103" s="3">
        <v>41305</v>
      </c>
      <c r="B103" s="29">
        <f>78</f>
        <v>78</v>
      </c>
      <c r="C103" s="29">
        <v>69</v>
      </c>
      <c r="D103" s="50">
        <f>53.3</f>
        <v>53.3</v>
      </c>
      <c r="E103" s="30">
        <v>53.3</v>
      </c>
      <c r="F103" s="29">
        <f>10.9</f>
        <v>10.9</v>
      </c>
      <c r="G103" s="31">
        <v>45674</v>
      </c>
      <c r="H103" s="51">
        <f t="shared" si="6"/>
        <v>0.10832322251880612</v>
      </c>
      <c r="I103" s="29">
        <f>-1.6</f>
        <v>-1.6</v>
      </c>
      <c r="J103" s="31">
        <v>104.96</v>
      </c>
      <c r="K103" s="51">
        <f t="shared" si="7"/>
        <v>-1.575393848462122E-2</v>
      </c>
      <c r="L103" s="29">
        <f>1.6</f>
        <v>1.6</v>
      </c>
      <c r="M103" s="30">
        <v>1.6</v>
      </c>
      <c r="N103" s="29">
        <f>4.8</f>
        <v>4.8</v>
      </c>
      <c r="O103" s="29">
        <v>1841128.1</v>
      </c>
      <c r="P103" s="51">
        <f t="shared" si="5"/>
        <v>4.7846665566722464E-2</v>
      </c>
      <c r="Q103" s="29">
        <f>3.4</f>
        <v>3.4</v>
      </c>
      <c r="R103" s="43">
        <v>89.8</v>
      </c>
      <c r="S103" s="32">
        <f t="shared" si="8"/>
        <v>3.6951501154734445E-2</v>
      </c>
      <c r="T103" s="54" t="e">
        <f>VLOOKUP(A103,[1]인포맥스!$A:$I,9,0)</f>
        <v>#N/A</v>
      </c>
      <c r="U103" s="70" t="e">
        <f t="shared" si="9"/>
        <v>#N/A</v>
      </c>
    </row>
    <row r="104" spans="1:21" x14ac:dyDescent="0.25">
      <c r="A104" s="3">
        <v>41274</v>
      </c>
      <c r="B104" s="29">
        <f>78</f>
        <v>78</v>
      </c>
      <c r="C104" s="29">
        <v>68</v>
      </c>
      <c r="D104" s="50">
        <f>50.1</f>
        <v>50.1</v>
      </c>
      <c r="E104" s="30">
        <v>50.1</v>
      </c>
      <c r="F104" s="29">
        <f>-6</f>
        <v>-6</v>
      </c>
      <c r="G104" s="31">
        <v>45032</v>
      </c>
      <c r="H104" s="51">
        <f t="shared" si="6"/>
        <v>-7.9533143920037616E-2</v>
      </c>
      <c r="I104" s="29">
        <f>-1.2</f>
        <v>-1.2</v>
      </c>
      <c r="J104" s="31">
        <v>104.79</v>
      </c>
      <c r="K104" s="51">
        <f t="shared" si="7"/>
        <v>-1.2253746818738779E-2</v>
      </c>
      <c r="L104" s="29">
        <f>1.4</f>
        <v>1.4</v>
      </c>
      <c r="M104" s="30">
        <v>1.4</v>
      </c>
      <c r="N104" s="29">
        <f>4.5</f>
        <v>4.5</v>
      </c>
      <c r="O104" s="29">
        <v>1835556.7</v>
      </c>
      <c r="P104" s="51">
        <f t="shared" si="5"/>
        <v>4.4950140538748407E-2</v>
      </c>
      <c r="Q104" s="29">
        <f>3.3</f>
        <v>3.3</v>
      </c>
      <c r="R104" s="43">
        <v>89.6</v>
      </c>
      <c r="S104" s="32">
        <f t="shared" si="8"/>
        <v>3.9443155452436096E-2</v>
      </c>
      <c r="T104" s="54" t="e">
        <f>VLOOKUP(A104,[1]인포맥스!$A:$I,9,0)</f>
        <v>#N/A</v>
      </c>
      <c r="U104" s="70" t="e">
        <f t="shared" si="9"/>
        <v>#N/A</v>
      </c>
    </row>
    <row r="105" spans="1:21" x14ac:dyDescent="0.25">
      <c r="A105" s="3">
        <v>41243</v>
      </c>
      <c r="B105" s="29">
        <f>78</f>
        <v>78</v>
      </c>
      <c r="C105" s="29">
        <v>66</v>
      </c>
      <c r="D105" s="50">
        <f>48</f>
        <v>48</v>
      </c>
      <c r="E105" s="30">
        <v>48</v>
      </c>
      <c r="F105" s="29">
        <f>3.9</f>
        <v>3.9</v>
      </c>
      <c r="G105" s="31">
        <v>47789</v>
      </c>
      <c r="H105" s="51">
        <f t="shared" si="6"/>
        <v>3.7650635110194335E-2</v>
      </c>
      <c r="I105" s="29">
        <f>-0.9</f>
        <v>-0.9</v>
      </c>
      <c r="J105" s="31">
        <v>105.05</v>
      </c>
      <c r="K105" s="51">
        <f t="shared" si="7"/>
        <v>-8.8687612038871374E-3</v>
      </c>
      <c r="L105" s="29">
        <f>1.6</f>
        <v>1.6</v>
      </c>
      <c r="M105" s="30">
        <v>1.6</v>
      </c>
      <c r="N105" s="29">
        <f>4.4</f>
        <v>4.4000000000000004</v>
      </c>
      <c r="O105" s="29">
        <v>1830280.3</v>
      </c>
      <c r="P105" s="51">
        <f t="shared" si="5"/>
        <v>4.3908092208482345E-2</v>
      </c>
      <c r="Q105" s="29">
        <f>3.1</f>
        <v>3.1</v>
      </c>
      <c r="R105" s="43">
        <v>89.2</v>
      </c>
      <c r="S105" s="32">
        <f t="shared" si="8"/>
        <v>3.720930232558143E-2</v>
      </c>
      <c r="T105" s="54" t="e">
        <f>VLOOKUP(A105,[1]인포맥스!$A:$I,9,0)</f>
        <v>#N/A</v>
      </c>
      <c r="U105" s="70" t="e">
        <f t="shared" si="9"/>
        <v>#N/A</v>
      </c>
    </row>
    <row r="106" spans="1:21" x14ac:dyDescent="0.25">
      <c r="A106" s="3">
        <v>41213</v>
      </c>
      <c r="B106" s="29">
        <f>79</f>
        <v>79</v>
      </c>
      <c r="C106" s="29">
        <v>68</v>
      </c>
      <c r="D106" s="50">
        <f>50.5</f>
        <v>50.5</v>
      </c>
      <c r="E106" s="30">
        <v>50.5</v>
      </c>
      <c r="F106" s="29">
        <f>1</f>
        <v>1</v>
      </c>
      <c r="G106" s="31">
        <v>47090</v>
      </c>
      <c r="H106" s="51">
        <f t="shared" si="6"/>
        <v>9.7133177519994861E-3</v>
      </c>
      <c r="I106" s="29">
        <f>-0.5</f>
        <v>-0.5</v>
      </c>
      <c r="J106" s="31">
        <v>105.78</v>
      </c>
      <c r="K106" s="51">
        <f t="shared" si="7"/>
        <v>-5.1725759428194974E-3</v>
      </c>
      <c r="L106" s="29">
        <f>2.1</f>
        <v>2.1</v>
      </c>
      <c r="M106" s="30">
        <v>2.1</v>
      </c>
      <c r="N106" s="29">
        <f>4.6</f>
        <v>4.5999999999999996</v>
      </c>
      <c r="O106" s="29">
        <v>1822420.9</v>
      </c>
      <c r="P106" s="51">
        <f t="shared" si="5"/>
        <v>4.5778389567952264E-2</v>
      </c>
      <c r="Q106" s="29">
        <f>2.9</f>
        <v>2.9</v>
      </c>
      <c r="R106" s="43">
        <v>88.9</v>
      </c>
      <c r="S106" s="32">
        <f t="shared" si="8"/>
        <v>3.4924330616996506E-2</v>
      </c>
      <c r="T106" s="54" t="e">
        <f>VLOOKUP(A106,[1]인포맥스!$A:$I,9,0)</f>
        <v>#N/A</v>
      </c>
      <c r="U106" s="70" t="e">
        <f t="shared" si="9"/>
        <v>#N/A</v>
      </c>
    </row>
    <row r="107" spans="1:21" x14ac:dyDescent="0.25">
      <c r="A107" s="3">
        <v>41182</v>
      </c>
      <c r="B107" s="29">
        <f>81</f>
        <v>81</v>
      </c>
      <c r="C107" s="29">
        <v>68</v>
      </c>
      <c r="D107" s="50">
        <f>50.8</f>
        <v>50.8</v>
      </c>
      <c r="E107" s="30">
        <v>50.8</v>
      </c>
      <c r="F107" s="29">
        <f>-2.4</f>
        <v>-2.4</v>
      </c>
      <c r="G107" s="31">
        <v>45415</v>
      </c>
      <c r="H107" s="51">
        <f t="shared" si="6"/>
        <v>-2.3753224419604473E-2</v>
      </c>
      <c r="I107" s="29">
        <f>0.2</f>
        <v>0.2</v>
      </c>
      <c r="J107" s="31">
        <v>106.61</v>
      </c>
      <c r="K107" s="51">
        <f t="shared" si="7"/>
        <v>1.6912524664097774E-3</v>
      </c>
      <c r="L107" s="29">
        <f>2.1</f>
        <v>2.1</v>
      </c>
      <c r="M107" s="30">
        <v>2.1</v>
      </c>
      <c r="N107" s="29">
        <f>5.2</f>
        <v>5.2</v>
      </c>
      <c r="O107" s="29">
        <v>1819290.1</v>
      </c>
      <c r="P107" s="51">
        <f t="shared" si="5"/>
        <v>5.189788145469023E-2</v>
      </c>
      <c r="Q107" s="29">
        <f>2.9</f>
        <v>2.9</v>
      </c>
      <c r="R107" s="43">
        <v>88.6</v>
      </c>
      <c r="S107" s="32">
        <f t="shared" si="8"/>
        <v>3.1431897555296726E-2</v>
      </c>
      <c r="T107" s="54" t="e">
        <f>VLOOKUP(A107,[1]인포맥스!$A:$I,9,0)</f>
        <v>#N/A</v>
      </c>
      <c r="U107" s="70" t="e">
        <f t="shared" si="9"/>
        <v>#N/A</v>
      </c>
    </row>
    <row r="108" spans="1:21" x14ac:dyDescent="0.25">
      <c r="A108" s="3">
        <v>41152</v>
      </c>
      <c r="B108" s="29">
        <f>84</f>
        <v>84</v>
      </c>
      <c r="C108" s="29">
        <v>69</v>
      </c>
      <c r="D108" s="50">
        <f>49</f>
        <v>49</v>
      </c>
      <c r="E108" s="30">
        <v>49</v>
      </c>
      <c r="F108" s="29">
        <f>-6</f>
        <v>-6</v>
      </c>
      <c r="G108" s="31">
        <v>43046</v>
      </c>
      <c r="H108" s="51">
        <f t="shared" si="6"/>
        <v>-5.9227205175277561E-2</v>
      </c>
      <c r="I108" s="29">
        <f>-0.1</f>
        <v>-0.1</v>
      </c>
      <c r="J108" s="31">
        <v>106.23</v>
      </c>
      <c r="K108" s="51">
        <f t="shared" si="7"/>
        <v>-1.128349788434324E-3</v>
      </c>
      <c r="L108" s="29">
        <f>1.3</f>
        <v>1.3</v>
      </c>
      <c r="M108" s="30">
        <v>1.3</v>
      </c>
      <c r="N108" s="29">
        <f>5.7</f>
        <v>5.7</v>
      </c>
      <c r="O108" s="29">
        <v>1817134.9</v>
      </c>
      <c r="P108" s="51">
        <f t="shared" si="5"/>
        <v>5.6819211488778401E-2</v>
      </c>
      <c r="Q108" s="29">
        <f>3</f>
        <v>3</v>
      </c>
      <c r="R108" s="43">
        <v>88.5</v>
      </c>
      <c r="S108" s="32">
        <f t="shared" si="8"/>
        <v>3.0267753201396904E-2</v>
      </c>
      <c r="T108" s="54" t="e">
        <f>VLOOKUP(A108,[1]인포맥스!$A:$I,9,0)</f>
        <v>#N/A</v>
      </c>
      <c r="U108" s="70" t="e">
        <f t="shared" si="9"/>
        <v>#N/A</v>
      </c>
    </row>
    <row r="109" spans="1:21" x14ac:dyDescent="0.25">
      <c r="A109" s="3">
        <v>41121</v>
      </c>
      <c r="B109" s="29">
        <f>84</f>
        <v>84</v>
      </c>
      <c r="C109" s="29">
        <v>69</v>
      </c>
      <c r="D109" s="50">
        <f>49.6</f>
        <v>49.6</v>
      </c>
      <c r="E109" s="30">
        <v>49.6</v>
      </c>
      <c r="F109" s="29">
        <f>-8.7</f>
        <v>-8.6999999999999993</v>
      </c>
      <c r="G109" s="31">
        <v>44669</v>
      </c>
      <c r="H109" s="51">
        <f t="shared" si="6"/>
        <v>-8.7493871547638505E-2</v>
      </c>
      <c r="I109" s="29">
        <f>-0.6</f>
        <v>-0.6</v>
      </c>
      <c r="J109" s="31">
        <v>105.58</v>
      </c>
      <c r="K109" s="51">
        <f t="shared" si="7"/>
        <v>-5.9316448545334291E-3</v>
      </c>
      <c r="L109" s="29">
        <f>1.5</f>
        <v>1.5</v>
      </c>
      <c r="M109" s="30">
        <v>1.5</v>
      </c>
      <c r="N109" s="29">
        <f>6</f>
        <v>6</v>
      </c>
      <c r="O109" s="29">
        <v>1807289.2</v>
      </c>
      <c r="P109" s="51">
        <f t="shared" si="5"/>
        <v>5.9713043730648424E-2</v>
      </c>
      <c r="Q109" s="29">
        <f>3.1</f>
        <v>3.1</v>
      </c>
      <c r="R109" s="43">
        <v>88.4</v>
      </c>
      <c r="S109" s="32">
        <f t="shared" si="8"/>
        <v>2.9103608847497089E-2</v>
      </c>
      <c r="T109" s="54" t="e">
        <f>VLOOKUP(A109,[1]인포맥스!$A:$I,9,0)</f>
        <v>#N/A</v>
      </c>
      <c r="U109" s="70" t="e">
        <f t="shared" si="9"/>
        <v>#N/A</v>
      </c>
    </row>
    <row r="110" spans="1:21" x14ac:dyDescent="0.25">
      <c r="A110" s="3">
        <v>41090</v>
      </c>
      <c r="B110" s="29">
        <f>91</f>
        <v>91</v>
      </c>
      <c r="C110" s="29">
        <v>78</v>
      </c>
      <c r="D110" s="50">
        <f>49.5</f>
        <v>49.5</v>
      </c>
      <c r="E110" s="30">
        <v>49.5</v>
      </c>
      <c r="F110" s="29">
        <f>0.9</f>
        <v>0.9</v>
      </c>
      <c r="G110" s="31">
        <v>47172</v>
      </c>
      <c r="H110" s="51">
        <f t="shared" si="6"/>
        <v>9.2858059822842221E-3</v>
      </c>
      <c r="I110" s="29">
        <f>0</f>
        <v>0</v>
      </c>
      <c r="J110" s="31">
        <v>106.05</v>
      </c>
      <c r="K110" s="51">
        <f t="shared" si="7"/>
        <v>-1.8855472800976734E-4</v>
      </c>
      <c r="L110" s="29">
        <f>2.2</f>
        <v>2.2000000000000002</v>
      </c>
      <c r="M110" s="30">
        <v>2.2000000000000002</v>
      </c>
      <c r="N110" s="29">
        <f>5.9</f>
        <v>5.9</v>
      </c>
      <c r="O110" s="29">
        <v>1796981.5</v>
      </c>
      <c r="P110" s="51">
        <f t="shared" si="5"/>
        <v>5.878921346058421E-2</v>
      </c>
      <c r="Q110" s="29">
        <f>3</f>
        <v>3</v>
      </c>
      <c r="R110" s="43">
        <v>88.3</v>
      </c>
      <c r="S110" s="32">
        <f t="shared" si="8"/>
        <v>3.0338389731621871E-2</v>
      </c>
      <c r="T110" s="54" t="e">
        <f>VLOOKUP(A110,[1]인포맥스!$A:$I,9,0)</f>
        <v>#N/A</v>
      </c>
      <c r="U110" s="70" t="e">
        <f t="shared" si="9"/>
        <v>#N/A</v>
      </c>
    </row>
    <row r="111" spans="1:21" x14ac:dyDescent="0.25">
      <c r="A111" s="3">
        <v>41060</v>
      </c>
      <c r="B111" s="29">
        <f>93</f>
        <v>93</v>
      </c>
      <c r="C111" s="29">
        <v>82</v>
      </c>
      <c r="D111" s="50">
        <f>53.2</f>
        <v>53.2</v>
      </c>
      <c r="E111" s="30">
        <v>53.2</v>
      </c>
      <c r="F111" s="29">
        <f>-1</f>
        <v>-1</v>
      </c>
      <c r="G111" s="31">
        <v>46913</v>
      </c>
      <c r="H111" s="51">
        <f t="shared" si="6"/>
        <v>-1.0587366867025202E-2</v>
      </c>
      <c r="I111" s="29">
        <f>1</f>
        <v>1</v>
      </c>
      <c r="J111" s="31">
        <v>107.35</v>
      </c>
      <c r="K111" s="51">
        <f t="shared" si="7"/>
        <v>9.7827109397045624E-3</v>
      </c>
      <c r="L111" s="29">
        <f>2.5</f>
        <v>2.5</v>
      </c>
      <c r="M111" s="30">
        <v>2.5</v>
      </c>
      <c r="N111" s="29">
        <f>5.5</f>
        <v>5.5</v>
      </c>
      <c r="O111" s="29">
        <v>1784220.5</v>
      </c>
      <c r="P111" s="51">
        <f t="shared" si="5"/>
        <v>5.541266918380662E-2</v>
      </c>
      <c r="Q111" s="29">
        <f>2.8</f>
        <v>2.8</v>
      </c>
      <c r="R111" s="43">
        <v>88</v>
      </c>
      <c r="S111" s="32">
        <f t="shared" si="8"/>
        <v>2.8037383177570162E-2</v>
      </c>
      <c r="T111" s="54" t="e">
        <f>VLOOKUP(A111,[1]인포맥스!$A:$I,9,0)</f>
        <v>#N/A</v>
      </c>
      <c r="U111" s="70" t="e">
        <f t="shared" si="9"/>
        <v>#N/A</v>
      </c>
    </row>
    <row r="112" spans="1:21" x14ac:dyDescent="0.25">
      <c r="A112" s="3">
        <v>41029</v>
      </c>
      <c r="B112" s="29">
        <f>92</f>
        <v>92</v>
      </c>
      <c r="C112" s="29">
        <v>82</v>
      </c>
      <c r="D112" s="50">
        <f>55.2</f>
        <v>55.2</v>
      </c>
      <c r="E112" s="30">
        <v>55.2</v>
      </c>
      <c r="F112" s="29">
        <f>-5</f>
        <v>-5</v>
      </c>
      <c r="G112" s="31">
        <v>46096</v>
      </c>
      <c r="H112" s="51">
        <f t="shared" si="6"/>
        <v>-5.0291530172857819E-2</v>
      </c>
      <c r="I112" s="29">
        <f>1.8</f>
        <v>1.8</v>
      </c>
      <c r="J112" s="31">
        <v>107.95</v>
      </c>
      <c r="K112" s="51">
        <f t="shared" si="7"/>
        <v>1.8492310595339258E-2</v>
      </c>
      <c r="L112" s="29">
        <f>2.6</f>
        <v>2.6</v>
      </c>
      <c r="M112" s="30">
        <v>2.6</v>
      </c>
      <c r="N112" s="29">
        <f>5.5</f>
        <v>5.5</v>
      </c>
      <c r="O112" s="29">
        <v>1777114.7</v>
      </c>
      <c r="P112" s="51">
        <f t="shared" si="5"/>
        <v>5.4797496403562566E-2</v>
      </c>
      <c r="Q112" s="29">
        <f>2.9</f>
        <v>2.9</v>
      </c>
      <c r="R112" s="43">
        <v>87.8</v>
      </c>
      <c r="S112" s="32">
        <f t="shared" si="8"/>
        <v>2.6900584795321605E-2</v>
      </c>
      <c r="T112" s="54" t="e">
        <f>VLOOKUP(A112,[1]인포맥스!$A:$I,9,0)</f>
        <v>#N/A</v>
      </c>
      <c r="U112" s="70" t="e">
        <f t="shared" si="9"/>
        <v>#N/A</v>
      </c>
    </row>
    <row r="113" spans="1:21" x14ac:dyDescent="0.25">
      <c r="A113" s="3">
        <v>40999</v>
      </c>
      <c r="B113" s="29">
        <f>92</f>
        <v>92</v>
      </c>
      <c r="C113" s="29">
        <v>81</v>
      </c>
      <c r="D113" s="50">
        <f>53.5</f>
        <v>53.5</v>
      </c>
      <c r="E113" s="30">
        <v>53.5</v>
      </c>
      <c r="F113" s="29">
        <f>-1.5</f>
        <v>-1.5</v>
      </c>
      <c r="G113" s="31">
        <v>47327</v>
      </c>
      <c r="H113" s="51">
        <f t="shared" si="6"/>
        <v>-1.4923819831820831E-2</v>
      </c>
      <c r="I113" s="29">
        <f>2.4</f>
        <v>2.4</v>
      </c>
      <c r="J113" s="31">
        <v>107.9</v>
      </c>
      <c r="K113" s="51">
        <f t="shared" si="7"/>
        <v>2.4302259350674028E-2</v>
      </c>
      <c r="L113" s="29">
        <f>2.7</f>
        <v>2.7</v>
      </c>
      <c r="M113" s="30">
        <v>2.7</v>
      </c>
      <c r="N113" s="29">
        <f>5.7</f>
        <v>5.7</v>
      </c>
      <c r="O113" s="29">
        <v>1773172.9</v>
      </c>
      <c r="P113" s="51">
        <f t="shared" si="5"/>
        <v>5.7048211542115153E-2</v>
      </c>
      <c r="Q113" s="29">
        <f>2.6</f>
        <v>2.6</v>
      </c>
      <c r="R113" s="43">
        <v>87.5</v>
      </c>
      <c r="S113" s="32">
        <f t="shared" si="8"/>
        <v>2.2196261682243059E-2</v>
      </c>
      <c r="T113" s="54" t="e">
        <f>VLOOKUP(A113,[1]인포맥스!$A:$I,9,0)</f>
        <v>#N/A</v>
      </c>
      <c r="U113" s="70" t="e">
        <f t="shared" si="9"/>
        <v>#N/A</v>
      </c>
    </row>
    <row r="114" spans="1:21" x14ac:dyDescent="0.25">
      <c r="A114" s="3">
        <v>40968</v>
      </c>
      <c r="B114" s="29">
        <f>89</f>
        <v>89</v>
      </c>
      <c r="C114" s="29">
        <v>79</v>
      </c>
      <c r="D114" s="50">
        <f>53.3</f>
        <v>53.3</v>
      </c>
      <c r="E114" s="30">
        <v>53.3</v>
      </c>
      <c r="F114" s="29">
        <f>20.4</f>
        <v>20.399999999999999</v>
      </c>
      <c r="G114" s="31">
        <v>46318</v>
      </c>
      <c r="H114" s="51">
        <f t="shared" si="6"/>
        <v>0.20397182293155883</v>
      </c>
      <c r="I114" s="29">
        <f>3.2</f>
        <v>3.2</v>
      </c>
      <c r="J114" s="31">
        <v>107.37</v>
      </c>
      <c r="K114" s="51">
        <f t="shared" si="7"/>
        <v>3.1511192237486801E-2</v>
      </c>
      <c r="L114" s="29">
        <f>3</f>
        <v>3</v>
      </c>
      <c r="M114" s="30">
        <v>3</v>
      </c>
      <c r="N114" s="29">
        <f>5.3</f>
        <v>5.3</v>
      </c>
      <c r="O114" s="29">
        <v>1762988.4</v>
      </c>
      <c r="P114" s="51">
        <f t="shared" si="5"/>
        <v>5.2913522861005188E-2</v>
      </c>
      <c r="Q114" s="29">
        <f>2.3</f>
        <v>2.2999999999999998</v>
      </c>
      <c r="R114" s="43">
        <v>87.1</v>
      </c>
      <c r="S114" s="32">
        <f t="shared" si="8"/>
        <v>1.8713450292397595E-2</v>
      </c>
      <c r="T114" s="54" t="e">
        <f>VLOOKUP(A114,[1]인포맥스!$A:$I,9,0)</f>
        <v>#N/A</v>
      </c>
      <c r="U114" s="70" t="e">
        <f t="shared" si="9"/>
        <v>#N/A</v>
      </c>
    </row>
    <row r="115" spans="1:21" x14ac:dyDescent="0.25">
      <c r="A115" s="3">
        <v>40939</v>
      </c>
      <c r="B115" s="29">
        <f>88</f>
        <v>88</v>
      </c>
      <c r="C115" s="29">
        <v>78</v>
      </c>
      <c r="D115" s="50">
        <f>54.2</f>
        <v>54.2</v>
      </c>
      <c r="E115" s="30">
        <v>54.2</v>
      </c>
      <c r="F115" s="29">
        <f>-7.3</f>
        <v>-7.3</v>
      </c>
      <c r="G115" s="31">
        <v>41210</v>
      </c>
      <c r="H115" s="51">
        <f t="shared" si="6"/>
        <v>-7.3245327996042012E-2</v>
      </c>
      <c r="I115" s="29">
        <f>3.2</f>
        <v>3.2</v>
      </c>
      <c r="J115" s="31">
        <v>106.64</v>
      </c>
      <c r="K115" s="51">
        <f t="shared" si="7"/>
        <v>3.2133178474641963E-2</v>
      </c>
      <c r="L115" s="29">
        <f>3.3</f>
        <v>3.3</v>
      </c>
      <c r="M115" s="30">
        <v>3.3</v>
      </c>
      <c r="N115" s="29">
        <f>4.8</f>
        <v>4.8</v>
      </c>
      <c r="O115" s="29">
        <v>1757058.7</v>
      </c>
      <c r="P115" s="51">
        <f t="shared" si="5"/>
        <v>4.808372316530031E-2</v>
      </c>
      <c r="Q115" s="29">
        <f>1.8</f>
        <v>1.8</v>
      </c>
      <c r="R115" s="43">
        <v>86.6</v>
      </c>
      <c r="S115" s="32">
        <f t="shared" si="8"/>
        <v>1.7626321974148061E-2</v>
      </c>
      <c r="T115" s="54" t="e">
        <f>VLOOKUP(A115,[1]인포맥스!$A:$I,9,0)</f>
        <v>#N/A</v>
      </c>
      <c r="U115" s="70" t="e">
        <f t="shared" si="9"/>
        <v>#N/A</v>
      </c>
    </row>
    <row r="116" spans="1:21" x14ac:dyDescent="0.25">
      <c r="A116" s="3">
        <v>40908</v>
      </c>
      <c r="B116" s="29">
        <f>91</f>
        <v>91</v>
      </c>
      <c r="C116" s="29">
        <v>81</v>
      </c>
      <c r="D116" s="50">
        <f>53</f>
        <v>53</v>
      </c>
      <c r="E116" s="30">
        <v>53</v>
      </c>
      <c r="F116" s="29">
        <f>8.2</f>
        <v>8.1999999999999993</v>
      </c>
      <c r="G116" s="31">
        <v>48923</v>
      </c>
      <c r="H116" s="51">
        <f t="shared" si="6"/>
        <v>0.10823422811190395</v>
      </c>
      <c r="I116" s="29">
        <f>4.3</f>
        <v>4.3</v>
      </c>
      <c r="J116" s="31">
        <v>106.09</v>
      </c>
      <c r="K116" s="51">
        <f t="shared" si="7"/>
        <v>4.2653562653562689E-2</v>
      </c>
      <c r="L116" s="29">
        <f>4.2</f>
        <v>4.2</v>
      </c>
      <c r="M116" s="30">
        <v>4.2</v>
      </c>
      <c r="N116" s="29">
        <f>4.4</f>
        <v>4.4000000000000004</v>
      </c>
      <c r="O116" s="29">
        <v>1756597.4</v>
      </c>
      <c r="P116" s="51">
        <f t="shared" si="5"/>
        <v>4.3809335695723484E-2</v>
      </c>
      <c r="Q116" s="29">
        <f>1.6</f>
        <v>1.6</v>
      </c>
      <c r="R116" s="43">
        <v>86.2</v>
      </c>
      <c r="S116" s="32">
        <f t="shared" si="8"/>
        <v>2.0118343195266307E-2</v>
      </c>
      <c r="T116" s="54" t="e">
        <f>VLOOKUP(A116,[1]인포맥스!$A:$I,9,0)</f>
        <v>#N/A</v>
      </c>
      <c r="U116" s="70" t="e">
        <f t="shared" si="9"/>
        <v>#N/A</v>
      </c>
    </row>
    <row r="117" spans="1:21" x14ac:dyDescent="0.25">
      <c r="A117" s="3">
        <v>40877</v>
      </c>
      <c r="B117" s="29">
        <f>93</f>
        <v>93</v>
      </c>
      <c r="C117" s="29">
        <v>80</v>
      </c>
      <c r="D117" s="50">
        <f>51.8</f>
        <v>51.8</v>
      </c>
      <c r="E117" s="30">
        <v>51.8</v>
      </c>
      <c r="F117" s="29">
        <f>11.5</f>
        <v>11.5</v>
      </c>
      <c r="G117" s="31">
        <v>46055</v>
      </c>
      <c r="H117" s="51">
        <f t="shared" si="6"/>
        <v>0.11618719856523109</v>
      </c>
      <c r="I117" s="29">
        <f>5.1</f>
        <v>5.0999999999999996</v>
      </c>
      <c r="J117" s="31">
        <v>105.99</v>
      </c>
      <c r="K117" s="51">
        <f t="shared" si="7"/>
        <v>5.1279508034120236E-2</v>
      </c>
      <c r="L117" s="29">
        <f>4.2</f>
        <v>4.2</v>
      </c>
      <c r="M117" s="30">
        <v>4.2</v>
      </c>
      <c r="N117" s="29">
        <f>4.4</f>
        <v>4.4000000000000004</v>
      </c>
      <c r="O117" s="29">
        <v>1753296.4</v>
      </c>
      <c r="P117" s="51">
        <f t="shared" si="5"/>
        <v>4.3684783332725172E-2</v>
      </c>
      <c r="Q117" s="29">
        <f>1.5</f>
        <v>1.5</v>
      </c>
      <c r="R117" s="43">
        <v>86</v>
      </c>
      <c r="S117" s="32">
        <f t="shared" si="8"/>
        <v>2.0166073546856501E-2</v>
      </c>
      <c r="T117" s="54" t="e">
        <f>VLOOKUP(A117,[1]인포맥스!$A:$I,9,0)</f>
        <v>#N/A</v>
      </c>
      <c r="U117" s="70" t="e">
        <f t="shared" si="9"/>
        <v>#N/A</v>
      </c>
    </row>
    <row r="118" spans="1:21" x14ac:dyDescent="0.25">
      <c r="A118" s="3">
        <v>40847</v>
      </c>
      <c r="B118" s="29">
        <f>95</f>
        <v>95</v>
      </c>
      <c r="C118" s="29">
        <v>82</v>
      </c>
      <c r="D118" s="50">
        <f>51.4</f>
        <v>51.4</v>
      </c>
      <c r="E118" s="30">
        <v>51.4</v>
      </c>
      <c r="F118" s="29">
        <f>7.6</f>
        <v>7.6</v>
      </c>
      <c r="G118" s="31">
        <v>46637</v>
      </c>
      <c r="H118" s="51" t="e">
        <f t="shared" si="6"/>
        <v>#N/A</v>
      </c>
      <c r="I118" s="29">
        <f>5.8</f>
        <v>5.8</v>
      </c>
      <c r="J118" s="31">
        <v>106.33</v>
      </c>
      <c r="K118" s="51">
        <f t="shared" si="7"/>
        <v>5.832586841843336E-2</v>
      </c>
      <c r="L118" s="29">
        <f>3.6</f>
        <v>3.6</v>
      </c>
      <c r="M118" s="30">
        <v>3.6</v>
      </c>
      <c r="N118" s="29">
        <f>4.4</f>
        <v>4.4000000000000004</v>
      </c>
      <c r="O118" s="29">
        <v>1742645.4</v>
      </c>
      <c r="P118" s="51">
        <f t="shared" si="5"/>
        <v>4.3889916750959497E-2</v>
      </c>
      <c r="Q118" s="29">
        <f>1.6</f>
        <v>1.6</v>
      </c>
      <c r="R118" s="43">
        <v>85.9</v>
      </c>
      <c r="S118" s="32">
        <f t="shared" si="8"/>
        <v>2.0190023752969154E-2</v>
      </c>
      <c r="T118" s="54" t="e">
        <f>VLOOKUP(A118,[1]인포맥스!$A:$I,9,0)</f>
        <v>#N/A</v>
      </c>
      <c r="U118" s="70" t="e">
        <f t="shared" si="9"/>
        <v>#N/A</v>
      </c>
    </row>
    <row r="119" spans="1:21" x14ac:dyDescent="0.25">
      <c r="A119" s="3">
        <v>40816</v>
      </c>
      <c r="B119" s="29">
        <f>94</f>
        <v>94</v>
      </c>
      <c r="C119" s="29">
        <v>82</v>
      </c>
      <c r="D119" s="50">
        <f>53.7</f>
        <v>53.7</v>
      </c>
      <c r="E119" s="30">
        <v>53.7</v>
      </c>
      <c r="F119" s="29">
        <f>18</f>
        <v>18</v>
      </c>
      <c r="G119" s="31">
        <v>46520</v>
      </c>
      <c r="H119" s="51">
        <f t="shared" si="6"/>
        <v>0.18038111187231992</v>
      </c>
      <c r="I119" s="29">
        <f>6.3</f>
        <v>6.3</v>
      </c>
      <c r="J119" s="31">
        <v>106.43</v>
      </c>
      <c r="K119" s="51">
        <f t="shared" si="7"/>
        <v>6.323676323676336E-2</v>
      </c>
      <c r="L119" s="29">
        <f>3.8</f>
        <v>3.8</v>
      </c>
      <c r="M119" s="30">
        <v>3.8</v>
      </c>
      <c r="N119" s="29">
        <f>4.2</f>
        <v>4.2</v>
      </c>
      <c r="O119" s="29">
        <v>1729531.1</v>
      </c>
      <c r="P119" s="51">
        <f t="shared" si="5"/>
        <v>4.2262863549303149E-2</v>
      </c>
      <c r="Q119" s="29">
        <f>1.8</f>
        <v>1.8</v>
      </c>
      <c r="R119" s="43">
        <v>85.9</v>
      </c>
      <c r="S119" s="32">
        <f t="shared" si="8"/>
        <v>1.8979833926453245E-2</v>
      </c>
      <c r="T119" s="54" t="e">
        <f>VLOOKUP(A119,[1]인포맥스!$A:$I,9,0)</f>
        <v>#N/A</v>
      </c>
      <c r="U119" s="70" t="e">
        <f t="shared" si="9"/>
        <v>#N/A</v>
      </c>
    </row>
    <row r="120" spans="1:21" x14ac:dyDescent="0.25">
      <c r="A120" s="3">
        <v>40786</v>
      </c>
      <c r="B120" s="29">
        <f>92</f>
        <v>92</v>
      </c>
      <c r="C120" s="29">
        <v>81</v>
      </c>
      <c r="D120" s="50">
        <f>52.6</f>
        <v>52.6</v>
      </c>
      <c r="E120" s="30">
        <v>52.6</v>
      </c>
      <c r="F120" s="29">
        <f>25.5</f>
        <v>25.5</v>
      </c>
      <c r="G120" s="31">
        <v>45756</v>
      </c>
      <c r="H120" s="51">
        <f t="shared" si="6"/>
        <v>0.25424193415750662</v>
      </c>
      <c r="I120" s="29">
        <f>6.9</f>
        <v>6.9</v>
      </c>
      <c r="J120" s="31">
        <v>106.35</v>
      </c>
      <c r="K120" s="51">
        <f t="shared" si="7"/>
        <v>6.8522053652165113E-2</v>
      </c>
      <c r="L120" s="29">
        <f>4.7</f>
        <v>4.7</v>
      </c>
      <c r="M120" s="30">
        <v>4.7</v>
      </c>
      <c r="N120" s="29">
        <f>4</f>
        <v>4</v>
      </c>
      <c r="O120" s="29">
        <v>1719437.8</v>
      </c>
      <c r="P120" s="51">
        <f t="shared" si="5"/>
        <v>3.9621690987257381E-2</v>
      </c>
      <c r="Q120" s="29">
        <f>2.1</f>
        <v>2.1</v>
      </c>
      <c r="R120" s="43">
        <v>85.9</v>
      </c>
      <c r="S120" s="32">
        <f t="shared" si="8"/>
        <v>2.0190023752969154E-2</v>
      </c>
      <c r="T120" s="54" t="e">
        <f>VLOOKUP(A120,[1]인포맥스!$A:$I,9,0)</f>
        <v>#N/A</v>
      </c>
      <c r="U120" s="70" t="e">
        <f t="shared" si="9"/>
        <v>#N/A</v>
      </c>
    </row>
    <row r="121" spans="1:21" x14ac:dyDescent="0.25">
      <c r="A121" s="3">
        <v>40755</v>
      </c>
      <c r="B121" s="29">
        <f>98</f>
        <v>98</v>
      </c>
      <c r="C121" s="29">
        <v>87</v>
      </c>
      <c r="D121" s="50">
        <f>52.9</f>
        <v>52.9</v>
      </c>
      <c r="E121" s="30">
        <v>52.9</v>
      </c>
      <c r="F121" s="29">
        <f>21.1</f>
        <v>21.1</v>
      </c>
      <c r="G121" s="31">
        <v>48952</v>
      </c>
      <c r="H121" s="51">
        <f t="shared" si="6"/>
        <v>0.21096378389075796</v>
      </c>
      <c r="I121" s="29">
        <f>7</f>
        <v>7</v>
      </c>
      <c r="J121" s="31">
        <v>106.21</v>
      </c>
      <c r="K121" s="51">
        <f t="shared" si="7"/>
        <v>7.0341630555275522E-2</v>
      </c>
      <c r="L121" s="29">
        <f>4.5</f>
        <v>4.5</v>
      </c>
      <c r="M121" s="30">
        <v>4.5</v>
      </c>
      <c r="N121" s="29">
        <f>3.2</f>
        <v>3.2</v>
      </c>
      <c r="O121" s="29">
        <v>1705451.5</v>
      </c>
      <c r="P121" s="51">
        <f t="shared" si="5"/>
        <v>3.1695207214510079E-2</v>
      </c>
      <c r="Q121" s="29">
        <f>2.4</f>
        <v>2.4</v>
      </c>
      <c r="R121" s="43">
        <v>85.9</v>
      </c>
      <c r="S121" s="32">
        <f t="shared" si="8"/>
        <v>2.2619047619047688E-2</v>
      </c>
      <c r="T121" s="54" t="e">
        <f>VLOOKUP(A121,[1]인포맥스!$A:$I,9,0)</f>
        <v>#N/A</v>
      </c>
      <c r="U121" s="70" t="e">
        <f t="shared" si="9"/>
        <v>#N/A</v>
      </c>
    </row>
    <row r="122" spans="1:21" x14ac:dyDescent="0.25">
      <c r="A122" s="3">
        <v>40724</v>
      </c>
      <c r="B122" s="29">
        <f>102</f>
        <v>102</v>
      </c>
      <c r="C122" s="29">
        <v>88</v>
      </c>
      <c r="D122" s="50">
        <f>55.8</f>
        <v>55.8</v>
      </c>
      <c r="E122" s="30">
        <v>55.8</v>
      </c>
      <c r="F122" s="29">
        <f>11.1</f>
        <v>11.1</v>
      </c>
      <c r="G122" s="31">
        <v>46738</v>
      </c>
      <c r="H122" s="51">
        <f t="shared" si="6"/>
        <v>0.11151275892411235</v>
      </c>
      <c r="I122" s="29">
        <f>7.2</f>
        <v>7.2</v>
      </c>
      <c r="J122" s="31">
        <v>106.07</v>
      </c>
      <c r="K122" s="51">
        <f t="shared" si="7"/>
        <v>7.1630632451000084E-2</v>
      </c>
      <c r="L122" s="29">
        <f>4.2</f>
        <v>4.2</v>
      </c>
      <c r="M122" s="30">
        <v>4.2</v>
      </c>
      <c r="N122" s="29">
        <f>3</f>
        <v>3</v>
      </c>
      <c r="O122" s="29">
        <v>1697204.2</v>
      </c>
      <c r="P122" s="51">
        <f t="shared" si="5"/>
        <v>2.9868665977500229E-2</v>
      </c>
      <c r="Q122" s="29">
        <f>2.4</f>
        <v>2.4</v>
      </c>
      <c r="R122" s="43">
        <v>85.7</v>
      </c>
      <c r="S122" s="32">
        <f t="shared" si="8"/>
        <v>2.3894862604540022E-2</v>
      </c>
      <c r="T122" s="54" t="e">
        <f>VLOOKUP(A122,[1]인포맥스!$A:$I,9,0)</f>
        <v>#N/A</v>
      </c>
      <c r="U122" s="70" t="e">
        <f t="shared" si="9"/>
        <v>#N/A</v>
      </c>
    </row>
    <row r="123" spans="1:21" x14ac:dyDescent="0.25">
      <c r="A123" s="3">
        <v>40694</v>
      </c>
      <c r="B123" s="29">
        <f>101</f>
        <v>101</v>
      </c>
      <c r="C123" s="29">
        <v>90</v>
      </c>
      <c r="D123" s="50">
        <f>54.8</f>
        <v>54.8</v>
      </c>
      <c r="E123" s="30">
        <v>54.8</v>
      </c>
      <c r="F123" s="29">
        <f>21.7</f>
        <v>21.7</v>
      </c>
      <c r="G123" s="31">
        <v>47415</v>
      </c>
      <c r="H123" s="51">
        <f t="shared" si="6"/>
        <v>0.21927072618802715</v>
      </c>
      <c r="I123" s="29">
        <f>7.5</f>
        <v>7.5</v>
      </c>
      <c r="J123" s="31">
        <v>106.31</v>
      </c>
      <c r="K123" s="51">
        <f t="shared" si="7"/>
        <v>7.5250328714473527E-2</v>
      </c>
      <c r="L123" s="29">
        <f>3.9</f>
        <v>3.9</v>
      </c>
      <c r="M123" s="30">
        <v>3.9</v>
      </c>
      <c r="N123" s="29">
        <f>3.7</f>
        <v>3.7</v>
      </c>
      <c r="O123" s="29">
        <v>1690543</v>
      </c>
      <c r="P123" s="51">
        <f t="shared" si="5"/>
        <v>3.6567617960755187E-2</v>
      </c>
      <c r="Q123" s="29">
        <f>2.4</f>
        <v>2.4</v>
      </c>
      <c r="R123" s="43">
        <v>85.6</v>
      </c>
      <c r="S123" s="32">
        <f t="shared" si="8"/>
        <v>2.5149700598802328E-2</v>
      </c>
      <c r="T123" s="54" t="e">
        <f>VLOOKUP(A123,[1]인포맥스!$A:$I,9,0)</f>
        <v>#N/A</v>
      </c>
      <c r="U123" s="70" t="e">
        <f t="shared" si="9"/>
        <v>#N/A</v>
      </c>
    </row>
    <row r="124" spans="1:21" x14ac:dyDescent="0.25">
      <c r="A124" s="3">
        <v>40663</v>
      </c>
      <c r="B124" s="29">
        <f>103</f>
        <v>103</v>
      </c>
      <c r="C124" s="29">
        <v>92</v>
      </c>
      <c r="D124" s="50">
        <f>57.9</f>
        <v>57.9</v>
      </c>
      <c r="E124" s="30">
        <v>57.9</v>
      </c>
      <c r="F124" s="29">
        <f>23.5</f>
        <v>23.5</v>
      </c>
      <c r="G124" s="31">
        <v>48537</v>
      </c>
      <c r="H124" s="51">
        <f t="shared" si="6"/>
        <v>0.23500674283097123</v>
      </c>
      <c r="I124" s="29">
        <f>8.1</f>
        <v>8.1</v>
      </c>
      <c r="J124" s="31">
        <v>105.99</v>
      </c>
      <c r="K124" s="51">
        <f t="shared" si="7"/>
        <v>8.1089351285189598E-2</v>
      </c>
      <c r="L124" s="29">
        <f>3.8</f>
        <v>3.8</v>
      </c>
      <c r="M124" s="30">
        <v>3.8</v>
      </c>
      <c r="N124" s="29">
        <f>3.9</f>
        <v>3.9</v>
      </c>
      <c r="O124" s="29">
        <v>1684792.3</v>
      </c>
      <c r="P124" s="51">
        <f t="shared" si="5"/>
        <v>3.9240258111252473E-2</v>
      </c>
      <c r="Q124" s="29">
        <f>2.5</f>
        <v>2.5</v>
      </c>
      <c r="R124" s="43">
        <v>85.5</v>
      </c>
      <c r="S124" s="32">
        <f t="shared" si="8"/>
        <v>2.6410564225690311E-2</v>
      </c>
      <c r="T124" s="54" t="e">
        <f>VLOOKUP(A124,[1]인포맥스!$A:$I,9,0)</f>
        <v>#N/A</v>
      </c>
      <c r="U124" s="70" t="e">
        <f t="shared" si="9"/>
        <v>#N/A</v>
      </c>
    </row>
    <row r="125" spans="1:21" x14ac:dyDescent="0.25">
      <c r="A125" s="3">
        <v>40633</v>
      </c>
      <c r="B125" s="29">
        <f>97</f>
        <v>97</v>
      </c>
      <c r="C125" s="29">
        <v>87</v>
      </c>
      <c r="D125" s="50">
        <f>58.4</f>
        <v>58.4</v>
      </c>
      <c r="E125" s="30">
        <v>58.4</v>
      </c>
      <c r="F125" s="29">
        <f>28.8</f>
        <v>28.8</v>
      </c>
      <c r="G125" s="31">
        <v>48044</v>
      </c>
      <c r="H125" s="51">
        <f t="shared" si="6"/>
        <v>0.28773218258329092</v>
      </c>
      <c r="I125" s="29">
        <f>8.2</f>
        <v>8.1999999999999993</v>
      </c>
      <c r="J125" s="31">
        <v>105.34</v>
      </c>
      <c r="K125" s="51">
        <f t="shared" si="7"/>
        <v>8.2297338949964091E-2</v>
      </c>
      <c r="L125" s="29">
        <f>4.1</f>
        <v>4.0999999999999996</v>
      </c>
      <c r="M125" s="30">
        <v>4.0999999999999996</v>
      </c>
      <c r="N125" s="29">
        <f>5</f>
        <v>5</v>
      </c>
      <c r="O125" s="29">
        <v>1677475.9</v>
      </c>
      <c r="P125" s="51">
        <f t="shared" si="5"/>
        <v>4.3273816013360444E-2</v>
      </c>
      <c r="Q125" s="29">
        <f>2.9</f>
        <v>2.9</v>
      </c>
      <c r="R125" s="43">
        <v>85.6</v>
      </c>
      <c r="S125" s="32">
        <f t="shared" si="8"/>
        <v>2.8846153846153744E-2</v>
      </c>
      <c r="T125" s="54" t="e">
        <f>VLOOKUP(A125,[1]인포맥스!$A:$I,9,0)</f>
        <v>#N/A</v>
      </c>
      <c r="U125" s="70" t="e">
        <f t="shared" si="9"/>
        <v>#N/A</v>
      </c>
    </row>
    <row r="126" spans="1:21" x14ac:dyDescent="0.25">
      <c r="A126" s="3">
        <v>40602</v>
      </c>
      <c r="B126" s="29">
        <f>95</f>
        <v>95</v>
      </c>
      <c r="C126" s="29">
        <v>84</v>
      </c>
      <c r="D126" s="50">
        <f>59.2</f>
        <v>59.2</v>
      </c>
      <c r="E126" s="30">
        <v>59.2</v>
      </c>
      <c r="F126" s="29">
        <f>16.4</f>
        <v>16.399999999999999</v>
      </c>
      <c r="G126" s="31">
        <v>38471</v>
      </c>
      <c r="H126" s="51">
        <f t="shared" si="6"/>
        <v>0.16441175580374709</v>
      </c>
      <c r="I126" s="29">
        <f>7.4</f>
        <v>7.4</v>
      </c>
      <c r="J126" s="31">
        <v>104.09</v>
      </c>
      <c r="K126" s="51">
        <f t="shared" si="7"/>
        <v>7.4421965317919156E-2</v>
      </c>
      <c r="L126" s="29">
        <f>3.9</f>
        <v>3.9</v>
      </c>
      <c r="M126" s="30">
        <v>3.9</v>
      </c>
      <c r="N126" s="29">
        <f>5</f>
        <v>5</v>
      </c>
      <c r="O126" s="29">
        <v>1674390.5</v>
      </c>
      <c r="P126" s="51">
        <f t="shared" si="5"/>
        <v>4.9508908026920803E-2</v>
      </c>
      <c r="Q126" s="29">
        <f>3.2</f>
        <v>3.2</v>
      </c>
      <c r="R126" s="43">
        <v>85.5</v>
      </c>
      <c r="S126" s="32">
        <f t="shared" si="8"/>
        <v>3.0120481927710843E-2</v>
      </c>
      <c r="T126" s="54" t="e">
        <f>VLOOKUP(A126,[1]인포맥스!$A:$I,9,0)</f>
        <v>#N/A</v>
      </c>
      <c r="U126" s="70" t="e">
        <f t="shared" si="9"/>
        <v>#N/A</v>
      </c>
    </row>
    <row r="127" spans="1:21" x14ac:dyDescent="0.25">
      <c r="A127" s="3">
        <v>40574</v>
      </c>
      <c r="B127" s="29">
        <f>99</f>
        <v>99</v>
      </c>
      <c r="C127" s="29">
        <v>87</v>
      </c>
      <c r="D127" s="50">
        <f>59.1</f>
        <v>59.1</v>
      </c>
      <c r="E127" s="30">
        <v>59.1</v>
      </c>
      <c r="F127" s="29">
        <f>44.7</f>
        <v>44.7</v>
      </c>
      <c r="G127" s="31">
        <v>44467</v>
      </c>
      <c r="H127" s="51">
        <f t="shared" si="6"/>
        <v>0.4467870505937856</v>
      </c>
      <c r="I127" s="29">
        <f>6.8</f>
        <v>6.8</v>
      </c>
      <c r="J127" s="31">
        <v>103.32</v>
      </c>
      <c r="K127" s="51">
        <f t="shared" si="7"/>
        <v>6.8348671285285906E-2</v>
      </c>
      <c r="L127" s="29">
        <f>3.4</f>
        <v>3.4</v>
      </c>
      <c r="M127" s="30">
        <v>3.4</v>
      </c>
      <c r="N127" s="29">
        <f>6.5</f>
        <v>6.5</v>
      </c>
      <c r="O127" s="29">
        <v>1676448.8</v>
      </c>
      <c r="P127" s="51">
        <f t="shared" si="5"/>
        <v>6.4942176288663847E-2</v>
      </c>
      <c r="Q127" s="29">
        <f>3.2</f>
        <v>3.2</v>
      </c>
      <c r="R127" s="43">
        <v>85.1</v>
      </c>
      <c r="S127" s="32">
        <f t="shared" si="8"/>
        <v>2.6537997587454627E-2</v>
      </c>
      <c r="T127" s="54" t="e">
        <f>VLOOKUP(A127,[1]인포맥스!$A:$I,9,0)</f>
        <v>#N/A</v>
      </c>
      <c r="U127" s="70" t="e">
        <f t="shared" si="9"/>
        <v>#N/A</v>
      </c>
    </row>
    <row r="128" spans="1:21" x14ac:dyDescent="0.25">
      <c r="A128" s="3">
        <v>40543</v>
      </c>
      <c r="B128" s="29">
        <f>100</f>
        <v>100</v>
      </c>
      <c r="C128" s="29">
        <v>90</v>
      </c>
      <c r="D128" s="50">
        <f>56.6</f>
        <v>56.6</v>
      </c>
      <c r="E128" s="30">
        <v>56.6</v>
      </c>
      <c r="F128" s="29">
        <f>22.6</f>
        <v>22.6</v>
      </c>
      <c r="G128" s="31">
        <v>44145</v>
      </c>
      <c r="H128" s="51">
        <f t="shared" si="6"/>
        <v>0.22590946959178007</v>
      </c>
      <c r="I128" s="29">
        <f>4.7</f>
        <v>4.7</v>
      </c>
      <c r="J128" s="31">
        <v>101.75</v>
      </c>
      <c r="K128" s="51">
        <f t="shared" si="7"/>
        <v>5.6703707550108978E-2</v>
      </c>
      <c r="L128" s="29">
        <f>3</f>
        <v>3</v>
      </c>
      <c r="M128" s="30">
        <v>3</v>
      </c>
      <c r="N128" s="29">
        <f>7.2</f>
        <v>7.2</v>
      </c>
      <c r="O128" s="29">
        <v>1682871.9</v>
      </c>
      <c r="P128" s="51">
        <f t="shared" si="5"/>
        <v>7.1874428154775044E-2</v>
      </c>
      <c r="Q128" s="29">
        <f>2.9</f>
        <v>2.9</v>
      </c>
      <c r="R128" s="43">
        <v>84.5</v>
      </c>
      <c r="S128" s="32">
        <f t="shared" si="8"/>
        <v>2.3002421307506123E-2</v>
      </c>
      <c r="T128" s="54" t="e">
        <f>VLOOKUP(A128,[1]인포맥스!$A:$I,9,0)</f>
        <v>#N/A</v>
      </c>
      <c r="U128" s="70" t="e">
        <f t="shared" si="9"/>
        <v>#N/A</v>
      </c>
    </row>
    <row r="129" spans="1:21" x14ac:dyDescent="0.25">
      <c r="A129" s="3">
        <v>40512</v>
      </c>
      <c r="B129" s="29">
        <f>101</f>
        <v>101</v>
      </c>
      <c r="C129" s="29">
        <v>90</v>
      </c>
      <c r="D129" s="50">
        <f>57.3</f>
        <v>57.3</v>
      </c>
      <c r="E129" s="30">
        <v>57.3</v>
      </c>
      <c r="F129" s="29">
        <f>21.4</f>
        <v>21.4</v>
      </c>
      <c r="G129" s="31">
        <v>41261</v>
      </c>
      <c r="H129" s="51">
        <f t="shared" si="6"/>
        <v>0.21384443398446693</v>
      </c>
      <c r="I129" s="29">
        <f>4.2</f>
        <v>4.2</v>
      </c>
      <c r="J129" s="31">
        <v>100.82</v>
      </c>
      <c r="K129" s="51">
        <f t="shared" si="7"/>
        <v>5.2290992589499957E-2</v>
      </c>
      <c r="L129" s="29">
        <f>3</f>
        <v>3</v>
      </c>
      <c r="M129" s="30">
        <v>3</v>
      </c>
      <c r="N129" s="29">
        <f>7.4</f>
        <v>7.4</v>
      </c>
      <c r="O129" s="29">
        <v>1679909.9</v>
      </c>
      <c r="P129" s="51">
        <f t="shared" si="5"/>
        <v>7.3990468334825185E-2</v>
      </c>
      <c r="Q129" s="29">
        <f>3</f>
        <v>3</v>
      </c>
      <c r="R129" s="43">
        <v>84.3</v>
      </c>
      <c r="S129" s="32">
        <f t="shared" si="8"/>
        <v>2.5547445255474383E-2</v>
      </c>
      <c r="T129" s="54" t="e">
        <f>VLOOKUP(A129,[1]인포맥스!$A:$I,9,0)</f>
        <v>#N/A</v>
      </c>
      <c r="U129" s="70" t="e">
        <f t="shared" si="9"/>
        <v>#N/A</v>
      </c>
    </row>
    <row r="130" spans="1:21" x14ac:dyDescent="0.25">
      <c r="A130" s="3">
        <v>40482</v>
      </c>
      <c r="B130" s="29">
        <f>101</f>
        <v>101</v>
      </c>
      <c r="C130" s="29">
        <v>89</v>
      </c>
      <c r="D130" s="50">
        <f>56.9</f>
        <v>56.9</v>
      </c>
      <c r="E130" s="30">
        <v>56.9</v>
      </c>
      <c r="F130" s="29">
        <f>27.6</f>
        <v>27.6</v>
      </c>
      <c r="G130" s="31" t="e">
        <v>#N/A</v>
      </c>
      <c r="H130" s="51" t="e">
        <f t="shared" si="6"/>
        <v>#N/A</v>
      </c>
      <c r="I130" s="29">
        <f>4.2</f>
        <v>4.2</v>
      </c>
      <c r="J130" s="31">
        <v>100.47</v>
      </c>
      <c r="K130" s="51">
        <f t="shared" si="7"/>
        <v>5.2262253875157046E-2</v>
      </c>
      <c r="L130" s="29">
        <f>3.7</f>
        <v>3.7</v>
      </c>
      <c r="M130" s="30">
        <v>3.7</v>
      </c>
      <c r="N130" s="29">
        <f>7.6</f>
        <v>7.6</v>
      </c>
      <c r="O130" s="29">
        <v>1669376.6</v>
      </c>
      <c r="P130" s="51">
        <f t="shared" si="5"/>
        <v>7.6101086848969601E-2</v>
      </c>
      <c r="Q130" s="29">
        <f>3.4</f>
        <v>3.4</v>
      </c>
      <c r="R130" s="43">
        <v>84.2</v>
      </c>
      <c r="S130" s="32">
        <f t="shared" si="8"/>
        <v>3.3128834355828259E-2</v>
      </c>
      <c r="T130" s="54" t="e">
        <f>VLOOKUP(A130,[1]인포맥스!$A:$I,9,0)</f>
        <v>#N/A</v>
      </c>
      <c r="U130" s="70" t="e">
        <f t="shared" si="9"/>
        <v>#N/A</v>
      </c>
    </row>
    <row r="131" spans="1:21" x14ac:dyDescent="0.25">
      <c r="A131" s="3">
        <v>40451</v>
      </c>
      <c r="B131" s="29">
        <f>99</f>
        <v>99</v>
      </c>
      <c r="C131" s="29">
        <v>88</v>
      </c>
      <c r="D131" s="50">
        <f>55.3</f>
        <v>55.3</v>
      </c>
      <c r="E131" s="30">
        <v>55.3</v>
      </c>
      <c r="F131" s="29">
        <f>16.2</f>
        <v>16.2</v>
      </c>
      <c r="G131" s="31">
        <v>39411</v>
      </c>
      <c r="H131" s="51">
        <f t="shared" si="6"/>
        <v>0.16181239313719709</v>
      </c>
      <c r="I131" s="29">
        <f>3</f>
        <v>3</v>
      </c>
      <c r="J131" s="31">
        <v>100.1</v>
      </c>
      <c r="K131" s="51">
        <f t="shared" si="7"/>
        <v>3.9999999999999938E-2</v>
      </c>
      <c r="L131" s="29">
        <f>3.4</f>
        <v>3.4</v>
      </c>
      <c r="M131" s="30">
        <v>3.4</v>
      </c>
      <c r="N131" s="29">
        <f>8.1</f>
        <v>8.1</v>
      </c>
      <c r="O131" s="29">
        <v>1659400.1</v>
      </c>
      <c r="P131" s="51">
        <f t="shared" si="5"/>
        <v>8.0845393784247044E-2</v>
      </c>
      <c r="Q131" s="29">
        <f>4.2</f>
        <v>4.2</v>
      </c>
      <c r="R131" s="43">
        <v>84.3</v>
      </c>
      <c r="S131" s="32">
        <f t="shared" si="8"/>
        <v>4.3316831683168321E-2</v>
      </c>
      <c r="T131" s="54" t="e">
        <f>VLOOKUP(A131,[1]인포맥스!$A:$I,9,0)</f>
        <v>#N/A</v>
      </c>
      <c r="U131" s="70" t="e">
        <f t="shared" si="9"/>
        <v>#N/A</v>
      </c>
    </row>
    <row r="132" spans="1:21" x14ac:dyDescent="0.25">
      <c r="A132" s="3">
        <v>40421</v>
      </c>
      <c r="B132" s="29">
        <f>102</f>
        <v>102</v>
      </c>
      <c r="C132" s="29">
        <v>88</v>
      </c>
      <c r="D132" s="50">
        <f>56.4</f>
        <v>56.4</v>
      </c>
      <c r="E132" s="30">
        <v>56.4</v>
      </c>
      <c r="F132" s="29">
        <f>26</f>
        <v>26</v>
      </c>
      <c r="G132" s="31">
        <v>36481</v>
      </c>
      <c r="H132" s="51">
        <f t="shared" si="6"/>
        <v>0.26013816925734023</v>
      </c>
      <c r="I132" s="29">
        <f>2.5</f>
        <v>2.5</v>
      </c>
      <c r="J132" s="31">
        <v>99.53</v>
      </c>
      <c r="K132" s="51">
        <f t="shared" si="7"/>
        <v>3.5045757071547466E-2</v>
      </c>
      <c r="L132" s="29">
        <f>2.7</f>
        <v>2.7</v>
      </c>
      <c r="M132" s="30">
        <v>2.7</v>
      </c>
      <c r="N132" s="29">
        <f>8.5</f>
        <v>8.5</v>
      </c>
      <c r="O132" s="29">
        <v>1653907.2</v>
      </c>
      <c r="P132" s="51">
        <f t="shared" si="5"/>
        <v>8.461487158626349E-2</v>
      </c>
      <c r="Q132" s="29">
        <f>4.8</f>
        <v>4.8</v>
      </c>
      <c r="R132" s="43">
        <v>84.2</v>
      </c>
      <c r="S132" s="32">
        <f t="shared" si="8"/>
        <v>4.8567870485678774E-2</v>
      </c>
      <c r="T132" s="54" t="e">
        <f>VLOOKUP(A132,[1]인포맥스!$A:$I,9,0)</f>
        <v>#N/A</v>
      </c>
      <c r="U132" s="70" t="e">
        <f t="shared" si="9"/>
        <v>#N/A</v>
      </c>
    </row>
    <row r="133" spans="1:21" x14ac:dyDescent="0.25">
      <c r="A133" s="3">
        <v>40390</v>
      </c>
      <c r="B133" s="29">
        <f>107</f>
        <v>107</v>
      </c>
      <c r="C133" s="29">
        <v>93</v>
      </c>
      <c r="D133" s="50">
        <f>56.1</f>
        <v>56.1</v>
      </c>
      <c r="E133" s="30">
        <v>56.1</v>
      </c>
      <c r="F133" s="29">
        <f>26.7</f>
        <v>26.7</v>
      </c>
      <c r="G133" s="31">
        <v>40424</v>
      </c>
      <c r="H133" s="51">
        <f t="shared" si="6"/>
        <v>0.26689231540679453</v>
      </c>
      <c r="I133" s="29">
        <f>2.8</f>
        <v>2.8</v>
      </c>
      <c r="J133" s="31">
        <v>99.23</v>
      </c>
      <c r="K133" s="51">
        <f t="shared" si="7"/>
        <v>3.7862148310846194E-2</v>
      </c>
      <c r="L133" s="29">
        <f>2.5</f>
        <v>2.5</v>
      </c>
      <c r="M133" s="30">
        <v>2.5</v>
      </c>
      <c r="N133" s="29">
        <f>9.3</f>
        <v>9.3000000000000007</v>
      </c>
      <c r="O133" s="29">
        <v>1653057.5</v>
      </c>
      <c r="P133" s="51">
        <f t="shared" ref="P133:P196" si="10">(O133-O145)/O145</f>
        <v>9.2697590100623173E-2</v>
      </c>
      <c r="Q133" s="29">
        <f>5.3</f>
        <v>5.3</v>
      </c>
      <c r="R133" s="43">
        <v>84</v>
      </c>
      <c r="S133" s="32">
        <f t="shared" si="8"/>
        <v>5.263157894736846E-2</v>
      </c>
      <c r="T133" s="54" t="e">
        <f>VLOOKUP(A133,[1]인포맥스!$A:$I,9,0)</f>
        <v>#N/A</v>
      </c>
      <c r="U133" s="70" t="e">
        <f t="shared" si="9"/>
        <v>#N/A</v>
      </c>
    </row>
    <row r="134" spans="1:21" x14ac:dyDescent="0.25">
      <c r="A134" s="3">
        <v>40359</v>
      </c>
      <c r="B134" s="29">
        <f>104</f>
        <v>104</v>
      </c>
      <c r="C134" s="29">
        <v>94</v>
      </c>
      <c r="D134" s="50">
        <f>56.5</f>
        <v>56.5</v>
      </c>
      <c r="E134" s="30">
        <v>56.5</v>
      </c>
      <c r="F134" s="29">
        <f>30.5</f>
        <v>30.5</v>
      </c>
      <c r="G134" s="31">
        <v>42049</v>
      </c>
      <c r="H134" s="51">
        <f t="shared" ref="H134:H197" si="11">(G134-G146)/G146</f>
        <v>0.30546414157094071</v>
      </c>
      <c r="I134" s="29">
        <f>3.7</f>
        <v>3.7</v>
      </c>
      <c r="J134" s="31">
        <v>98.98</v>
      </c>
      <c r="K134" s="51">
        <f t="shared" ref="K134:K197" si="12">(J134-J146)/J146</f>
        <v>4.7075002644663098E-2</v>
      </c>
      <c r="L134" s="29">
        <f>2.7</f>
        <v>2.7</v>
      </c>
      <c r="M134" s="30">
        <v>2.7</v>
      </c>
      <c r="N134" s="29">
        <f>9.7</f>
        <v>9.6999999999999993</v>
      </c>
      <c r="O134" s="29">
        <v>1647981.2</v>
      </c>
      <c r="P134" s="51">
        <f t="shared" si="10"/>
        <v>9.7265507258380873E-2</v>
      </c>
      <c r="Q134" s="29">
        <f>5.7</f>
        <v>5.7</v>
      </c>
      <c r="R134" s="43">
        <v>83.7</v>
      </c>
      <c r="S134" s="32">
        <f t="shared" ref="S134:S197" si="13">(R134-R146)/R146</f>
        <v>5.4156171284634722E-2</v>
      </c>
      <c r="T134" s="54" t="e">
        <f>VLOOKUP(A134,[1]인포맥스!$A:$I,9,0)</f>
        <v>#N/A</v>
      </c>
      <c r="U134" s="70" t="e">
        <f t="shared" ref="U134:U197" si="14">(T134-T146)/T146</f>
        <v>#N/A</v>
      </c>
    </row>
    <row r="135" spans="1:21" x14ac:dyDescent="0.25">
      <c r="A135" s="3">
        <v>40329</v>
      </c>
      <c r="B135" s="29">
        <f>107</f>
        <v>107</v>
      </c>
      <c r="C135" s="29">
        <v>95</v>
      </c>
      <c r="D135" s="50">
        <f>57.4</f>
        <v>57.4</v>
      </c>
      <c r="E135" s="30">
        <v>57.4</v>
      </c>
      <c r="F135" s="29">
        <f>39.8</f>
        <v>39.799999999999997</v>
      </c>
      <c r="G135" s="31">
        <v>38888</v>
      </c>
      <c r="H135" s="51">
        <f t="shared" si="11"/>
        <v>0.39764232317423809</v>
      </c>
      <c r="I135" s="29">
        <f>3.3</f>
        <v>3.3</v>
      </c>
      <c r="J135" s="31">
        <v>98.87</v>
      </c>
      <c r="K135" s="51">
        <f t="shared" si="12"/>
        <v>4.3152563832032108E-2</v>
      </c>
      <c r="L135" s="29">
        <f>2.7</f>
        <v>2.7</v>
      </c>
      <c r="M135" s="30">
        <v>2.7</v>
      </c>
      <c r="N135" s="29">
        <f>9.3</f>
        <v>9.3000000000000007</v>
      </c>
      <c r="O135" s="29">
        <v>1630904.7</v>
      </c>
      <c r="P135" s="51">
        <f t="shared" si="10"/>
        <v>9.3434804112547371E-2</v>
      </c>
      <c r="Q135" s="29">
        <f>6.2</f>
        <v>6.2</v>
      </c>
      <c r="R135" s="43">
        <v>83.5</v>
      </c>
      <c r="S135" s="32">
        <f t="shared" si="13"/>
        <v>6.5051020408163185E-2</v>
      </c>
      <c r="T135" s="54" t="e">
        <f>VLOOKUP(A135,[1]인포맥스!$A:$I,9,0)</f>
        <v>#N/A</v>
      </c>
      <c r="U135" s="70" t="e">
        <f t="shared" si="14"/>
        <v>#N/A</v>
      </c>
    </row>
    <row r="136" spans="1:21" x14ac:dyDescent="0.25">
      <c r="A136" s="3">
        <v>40298</v>
      </c>
      <c r="B136" s="29">
        <f>107</f>
        <v>107</v>
      </c>
      <c r="C136" s="29">
        <v>94</v>
      </c>
      <c r="D136" s="50">
        <f>58.1</f>
        <v>58.1</v>
      </c>
      <c r="E136" s="30">
        <v>58.1</v>
      </c>
      <c r="F136" s="29">
        <f>29.6</f>
        <v>29.6</v>
      </c>
      <c r="G136" s="31">
        <v>39301</v>
      </c>
      <c r="H136" s="51">
        <f t="shared" si="11"/>
        <v>0.2959079368219738</v>
      </c>
      <c r="I136" s="29">
        <f>1.7</f>
        <v>1.7</v>
      </c>
      <c r="J136" s="31">
        <v>98.04</v>
      </c>
      <c r="K136" s="51">
        <f t="shared" si="12"/>
        <v>2.6489372840540266E-2</v>
      </c>
      <c r="L136" s="29">
        <f>2.6</f>
        <v>2.6</v>
      </c>
      <c r="M136" s="30">
        <v>2.6</v>
      </c>
      <c r="N136" s="29">
        <f>9.4</f>
        <v>9.4</v>
      </c>
      <c r="O136" s="29">
        <v>1621176.9</v>
      </c>
      <c r="P136" s="51">
        <f t="shared" si="10"/>
        <v>9.3904378628560908E-2</v>
      </c>
      <c r="Q136" s="29">
        <f>6.6</f>
        <v>6.6</v>
      </c>
      <c r="R136" s="43">
        <v>83.3</v>
      </c>
      <c r="S136" s="32">
        <f t="shared" si="13"/>
        <v>7.2072072072072002E-2</v>
      </c>
      <c r="T136" s="54" t="e">
        <f>VLOOKUP(A136,[1]인포맥스!$A:$I,9,0)</f>
        <v>#N/A</v>
      </c>
      <c r="U136" s="70" t="e">
        <f t="shared" si="14"/>
        <v>#N/A</v>
      </c>
    </row>
    <row r="137" spans="1:21" x14ac:dyDescent="0.25">
      <c r="A137" s="3">
        <v>40268</v>
      </c>
      <c r="B137" s="29">
        <f>102</f>
        <v>102</v>
      </c>
      <c r="C137" s="29">
        <v>89</v>
      </c>
      <c r="D137" s="50">
        <f>58.8</f>
        <v>58.8</v>
      </c>
      <c r="E137" s="30">
        <v>58.8</v>
      </c>
      <c r="F137" s="29">
        <f>33.8</f>
        <v>33.799999999999997</v>
      </c>
      <c r="G137" s="31">
        <v>37309</v>
      </c>
      <c r="H137" s="51">
        <f t="shared" si="11"/>
        <v>0.33767165035316049</v>
      </c>
      <c r="I137" s="29">
        <f>1.1</f>
        <v>1.1000000000000001</v>
      </c>
      <c r="J137" s="31">
        <v>97.33</v>
      </c>
      <c r="K137" s="51">
        <f t="shared" si="12"/>
        <v>2.0230607966456943E-2</v>
      </c>
      <c r="L137" s="29">
        <f>2.5</f>
        <v>2.5</v>
      </c>
      <c r="M137" s="30">
        <v>2.5</v>
      </c>
      <c r="N137" s="29">
        <f>9.4</f>
        <v>9.4</v>
      </c>
      <c r="O137" s="29">
        <v>1607896.1</v>
      </c>
      <c r="P137" s="51">
        <f t="shared" si="10"/>
        <v>9.3477265458282596E-2</v>
      </c>
      <c r="Q137" s="29">
        <f>7.1</f>
        <v>7.1</v>
      </c>
      <c r="R137" s="43">
        <v>83.2</v>
      </c>
      <c r="S137" s="32">
        <f t="shared" si="13"/>
        <v>8.6161879895561469E-2</v>
      </c>
      <c r="T137" s="54" t="e">
        <f>VLOOKUP(A137,[1]인포맥스!$A:$I,9,0)</f>
        <v>#N/A</v>
      </c>
      <c r="U137" s="70" t="e">
        <f t="shared" si="14"/>
        <v>#N/A</v>
      </c>
    </row>
    <row r="138" spans="1:21" x14ac:dyDescent="0.25">
      <c r="A138" s="3">
        <v>40237</v>
      </c>
      <c r="B138" s="29">
        <f>101</f>
        <v>101</v>
      </c>
      <c r="C138" s="29">
        <v>89</v>
      </c>
      <c r="D138" s="50">
        <f>55.5</f>
        <v>55.5</v>
      </c>
      <c r="E138" s="30">
        <v>55.5</v>
      </c>
      <c r="F138" s="29">
        <f>30.1</f>
        <v>30.1</v>
      </c>
      <c r="G138" s="31">
        <v>33039</v>
      </c>
      <c r="H138" s="51">
        <f t="shared" si="11"/>
        <v>0.30090168130094108</v>
      </c>
      <c r="I138" s="29">
        <f>1.1</f>
        <v>1.1000000000000001</v>
      </c>
      <c r="J138" s="31">
        <v>96.88</v>
      </c>
      <c r="K138" s="51">
        <f t="shared" si="12"/>
        <v>2.0326487625065746E-2</v>
      </c>
      <c r="L138" s="29">
        <f>3</f>
        <v>3</v>
      </c>
      <c r="M138" s="30">
        <v>3</v>
      </c>
      <c r="N138" s="29">
        <f>9.4</f>
        <v>9.4</v>
      </c>
      <c r="O138" s="29">
        <v>1595403.8</v>
      </c>
      <c r="P138" s="51">
        <f t="shared" si="10"/>
        <v>9.4292851796240321E-2</v>
      </c>
      <c r="Q138" s="29">
        <f>7.5</f>
        <v>7.5</v>
      </c>
      <c r="R138" s="43">
        <v>83</v>
      </c>
      <c r="S138" s="32">
        <f t="shared" si="13"/>
        <v>9.0670170827858165E-2</v>
      </c>
      <c r="T138" s="54" t="e">
        <f>VLOOKUP(A138,[1]인포맥스!$A:$I,9,0)</f>
        <v>#N/A</v>
      </c>
      <c r="U138" s="70" t="e">
        <f t="shared" si="14"/>
        <v>#N/A</v>
      </c>
    </row>
    <row r="139" spans="1:21" x14ac:dyDescent="0.25">
      <c r="A139" s="3">
        <v>40209</v>
      </c>
      <c r="B139" s="29">
        <f>100</f>
        <v>100</v>
      </c>
      <c r="C139" s="29">
        <v>89</v>
      </c>
      <c r="D139" s="50">
        <f>56.3</f>
        <v>56.3</v>
      </c>
      <c r="E139" s="30">
        <v>56.3</v>
      </c>
      <c r="F139" s="29">
        <f>45.4</f>
        <v>45.4</v>
      </c>
      <c r="G139" s="31">
        <v>30735</v>
      </c>
      <c r="H139" s="51">
        <f t="shared" si="11"/>
        <v>0.4543604788719065</v>
      </c>
      <c r="I139" s="29">
        <f>1.6</f>
        <v>1.6</v>
      </c>
      <c r="J139" s="31">
        <v>96.71</v>
      </c>
      <c r="K139" s="51">
        <f t="shared" si="12"/>
        <v>2.5447990669069998E-2</v>
      </c>
      <c r="L139" s="29">
        <f>3.5</f>
        <v>3.5</v>
      </c>
      <c r="M139" s="30">
        <v>3.5</v>
      </c>
      <c r="N139" s="29">
        <f>9.3</f>
        <v>9.3000000000000007</v>
      </c>
      <c r="O139" s="29">
        <v>1574215.8</v>
      </c>
      <c r="P139" s="51">
        <f t="shared" si="10"/>
        <v>9.2996077556812384E-2</v>
      </c>
      <c r="Q139" s="29">
        <f>7.9</f>
        <v>7.9</v>
      </c>
      <c r="R139" s="43">
        <v>82.9</v>
      </c>
      <c r="S139" s="32">
        <f t="shared" si="13"/>
        <v>9.5112285336856048E-2</v>
      </c>
      <c r="T139" s="54" t="e">
        <f>VLOOKUP(A139,[1]인포맥스!$A:$I,9,0)</f>
        <v>#N/A</v>
      </c>
      <c r="U139" s="70" t="e">
        <f t="shared" si="14"/>
        <v>#N/A</v>
      </c>
    </row>
    <row r="140" spans="1:21" x14ac:dyDescent="0.25">
      <c r="A140" s="3">
        <v>40178</v>
      </c>
      <c r="B140" s="29">
        <f>100</f>
        <v>100</v>
      </c>
      <c r="C140" s="29">
        <v>89</v>
      </c>
      <c r="D140" s="50">
        <f>55.8</f>
        <v>55.8</v>
      </c>
      <c r="E140" s="30">
        <v>55.8</v>
      </c>
      <c r="F140" s="29">
        <f>32.8</f>
        <v>32.799999999999997</v>
      </c>
      <c r="G140" s="31">
        <v>36010</v>
      </c>
      <c r="H140" s="51">
        <f t="shared" si="11"/>
        <v>0.32790028763183127</v>
      </c>
      <c r="I140" s="29">
        <f>1.8</f>
        <v>1.8</v>
      </c>
      <c r="J140" s="31">
        <v>96.29</v>
      </c>
      <c r="K140" s="51">
        <f t="shared" si="12"/>
        <v>1.8079932332417087E-2</v>
      </c>
      <c r="L140" s="29">
        <f>2.8</f>
        <v>2.8</v>
      </c>
      <c r="M140" s="30">
        <v>2.8</v>
      </c>
      <c r="N140" s="29">
        <f>9.3</f>
        <v>9.3000000000000007</v>
      </c>
      <c r="O140" s="29">
        <v>1570027.1</v>
      </c>
      <c r="P140" s="51">
        <f t="shared" si="10"/>
        <v>9.3106564284034896E-2</v>
      </c>
      <c r="Q140" s="29">
        <f>8</f>
        <v>8</v>
      </c>
      <c r="R140" s="43">
        <v>82.6</v>
      </c>
      <c r="S140" s="32">
        <f t="shared" si="13"/>
        <v>9.1149273447820228E-2</v>
      </c>
      <c r="T140" s="54" t="e">
        <f>VLOOKUP(A140,[1]인포맥스!$A:$I,9,0)</f>
        <v>#N/A</v>
      </c>
      <c r="U140" s="70" t="e">
        <f t="shared" si="14"/>
        <v>#N/A</v>
      </c>
    </row>
    <row r="141" spans="1:21" x14ac:dyDescent="0.25">
      <c r="A141" s="3">
        <v>40147</v>
      </c>
      <c r="B141" s="29">
        <f>95</f>
        <v>95</v>
      </c>
      <c r="C141" s="29">
        <v>85</v>
      </c>
      <c r="D141" s="50">
        <f>55.4</f>
        <v>55.4</v>
      </c>
      <c r="E141" s="30">
        <v>55.4</v>
      </c>
      <c r="F141" s="29">
        <f>17.9</f>
        <v>17.899999999999999</v>
      </c>
      <c r="G141" s="31">
        <v>33992</v>
      </c>
      <c r="H141" s="51">
        <f t="shared" si="11"/>
        <v>0.17855904583593371</v>
      </c>
      <c r="I141" s="29">
        <f>-0.4</f>
        <v>-0.4</v>
      </c>
      <c r="J141" s="31">
        <v>95.81</v>
      </c>
      <c r="K141" s="51">
        <f t="shared" si="12"/>
        <v>-4.0540540540540595E-3</v>
      </c>
      <c r="L141" s="29">
        <f>2.4</f>
        <v>2.4</v>
      </c>
      <c r="M141" s="30">
        <v>2.4</v>
      </c>
      <c r="N141" s="29">
        <f>9.7</f>
        <v>9.6999999999999993</v>
      </c>
      <c r="O141" s="29">
        <v>1564175.8</v>
      </c>
      <c r="P141" s="51">
        <f t="shared" si="10"/>
        <v>9.6770493121729001E-2</v>
      </c>
      <c r="Q141" s="29">
        <f>7.9</f>
        <v>7.9</v>
      </c>
      <c r="R141" s="43">
        <v>82.2</v>
      </c>
      <c r="S141" s="32">
        <f t="shared" si="13"/>
        <v>8.4432717678100344E-2</v>
      </c>
      <c r="T141" s="54" t="e">
        <f>VLOOKUP(A141,[1]인포맥스!$A:$I,9,0)</f>
        <v>#N/A</v>
      </c>
      <c r="U141" s="70" t="e">
        <f t="shared" si="14"/>
        <v>#N/A</v>
      </c>
    </row>
    <row r="142" spans="1:21" x14ac:dyDescent="0.25">
      <c r="A142" s="3">
        <v>40117</v>
      </c>
      <c r="B142" s="29">
        <f>96</f>
        <v>96</v>
      </c>
      <c r="C142" s="29">
        <v>88</v>
      </c>
      <c r="D142" s="50">
        <f>57.6</f>
        <v>57.6</v>
      </c>
      <c r="E142" s="30">
        <v>57.6</v>
      </c>
      <c r="F142" s="29">
        <f>-8.5</f>
        <v>-8.5</v>
      </c>
      <c r="G142" s="31">
        <v>33970</v>
      </c>
      <c r="H142" s="51">
        <f t="shared" si="11"/>
        <v>-8.4637977958017835E-2</v>
      </c>
      <c r="I142" s="29">
        <f>-3.1</f>
        <v>-3.1</v>
      </c>
      <c r="J142" s="31">
        <v>95.48</v>
      </c>
      <c r="K142" s="51">
        <f t="shared" si="12"/>
        <v>-3.0561478322672263E-2</v>
      </c>
      <c r="L142" s="29">
        <f>2</f>
        <v>2</v>
      </c>
      <c r="M142" s="30">
        <v>2</v>
      </c>
      <c r="N142" s="29">
        <f>10.5</f>
        <v>10.5</v>
      </c>
      <c r="O142" s="29">
        <v>1551319.5</v>
      </c>
      <c r="P142" s="51">
        <f t="shared" si="10"/>
        <v>0.10494085332299327</v>
      </c>
      <c r="Q142" s="29">
        <f>7.2</f>
        <v>7.2</v>
      </c>
      <c r="R142" s="43">
        <v>81.5</v>
      </c>
      <c r="S142" s="32">
        <f t="shared" si="13"/>
        <v>7.2368421052631582E-2</v>
      </c>
      <c r="T142" s="54" t="e">
        <f>VLOOKUP(A142,[1]인포맥스!$A:$I,9,0)</f>
        <v>#N/A</v>
      </c>
      <c r="U142" s="70" t="e">
        <f t="shared" si="14"/>
        <v>#N/A</v>
      </c>
    </row>
    <row r="143" spans="1:21" x14ac:dyDescent="0.25">
      <c r="A143" s="3">
        <v>40086</v>
      </c>
      <c r="B143" s="29">
        <f>92</f>
        <v>92</v>
      </c>
      <c r="C143" s="29">
        <v>84</v>
      </c>
      <c r="D143" s="50">
        <f>54.9</f>
        <v>54.9</v>
      </c>
      <c r="E143" s="30">
        <v>54.9</v>
      </c>
      <c r="F143" s="29">
        <f>-9.4</f>
        <v>-9.4</v>
      </c>
      <c r="G143" s="31">
        <v>33922</v>
      </c>
      <c r="H143" s="51">
        <f t="shared" si="11"/>
        <v>-9.3673185850165652E-2</v>
      </c>
      <c r="I143" s="29">
        <f>-2.5</f>
        <v>-2.5</v>
      </c>
      <c r="J143" s="31">
        <v>96.25</v>
      </c>
      <c r="K143" s="51">
        <f t="shared" si="12"/>
        <v>-2.5316455696202531E-2</v>
      </c>
      <c r="L143" s="29">
        <f>2.2</f>
        <v>2.2000000000000002</v>
      </c>
      <c r="M143" s="30">
        <v>2.2000000000000002</v>
      </c>
      <c r="N143" s="29">
        <f>10</f>
        <v>10</v>
      </c>
      <c r="O143" s="29">
        <v>1535279.8</v>
      </c>
      <c r="P143" s="51">
        <f t="shared" si="10"/>
        <v>9.9991889486080079E-2</v>
      </c>
      <c r="Q143" s="29">
        <f>6.5</f>
        <v>6.5</v>
      </c>
      <c r="R143" s="43">
        <v>80.8</v>
      </c>
      <c r="S143" s="32">
        <f t="shared" si="13"/>
        <v>6.3157894736842066E-2</v>
      </c>
      <c r="T143" s="54" t="e">
        <f>VLOOKUP(A143,[1]인포맥스!$A:$I,9,0)</f>
        <v>#N/A</v>
      </c>
      <c r="U143" s="70" t="e">
        <f t="shared" si="14"/>
        <v>#N/A</v>
      </c>
    </row>
    <row r="144" spans="1:21" x14ac:dyDescent="0.25">
      <c r="A144" s="3">
        <v>40056</v>
      </c>
      <c r="B144" s="29">
        <f>87</f>
        <v>87</v>
      </c>
      <c r="C144" s="29">
        <v>81</v>
      </c>
      <c r="D144" s="50">
        <f>53.4</f>
        <v>53.4</v>
      </c>
      <c r="E144" s="30">
        <v>53.4</v>
      </c>
      <c r="F144" s="29">
        <f>-20.9</f>
        <v>-20.9</v>
      </c>
      <c r="G144" s="31">
        <v>28950</v>
      </c>
      <c r="H144" s="51">
        <f t="shared" si="11"/>
        <v>-0.2092540493294365</v>
      </c>
      <c r="I144" s="29">
        <f>-3</f>
        <v>-3</v>
      </c>
      <c r="J144" s="31">
        <v>96.16</v>
      </c>
      <c r="K144" s="51">
        <f t="shared" si="12"/>
        <v>-3.0254134731746672E-2</v>
      </c>
      <c r="L144" s="29">
        <f>2.2</f>
        <v>2.2000000000000002</v>
      </c>
      <c r="M144" s="30">
        <v>2.2000000000000002</v>
      </c>
      <c r="N144" s="29">
        <f>10</f>
        <v>10</v>
      </c>
      <c r="O144" s="29">
        <v>1524879.7</v>
      </c>
      <c r="P144" s="51">
        <f t="shared" si="10"/>
        <v>0.10012155678976076</v>
      </c>
      <c r="Q144" s="29">
        <f>6</f>
        <v>6</v>
      </c>
      <c r="R144" s="43">
        <v>80.3</v>
      </c>
      <c r="S144" s="32">
        <f t="shared" si="13"/>
        <v>5.9366754617414252E-2</v>
      </c>
      <c r="T144" s="54" t="e">
        <f>VLOOKUP(A144,[1]인포맥스!$A:$I,9,0)</f>
        <v>#N/A</v>
      </c>
      <c r="U144" s="70" t="e">
        <f t="shared" si="14"/>
        <v>#N/A</v>
      </c>
    </row>
    <row r="145" spans="1:21" x14ac:dyDescent="0.25">
      <c r="A145" s="3">
        <v>40025</v>
      </c>
      <c r="B145" s="29">
        <f>84</f>
        <v>84</v>
      </c>
      <c r="C145" s="29">
        <v>78</v>
      </c>
      <c r="D145" s="50">
        <f>49.7</f>
        <v>49.7</v>
      </c>
      <c r="E145" s="30">
        <v>49.7</v>
      </c>
      <c r="F145" s="29">
        <f>-22.1</f>
        <v>-22.1</v>
      </c>
      <c r="G145" s="31">
        <v>31908</v>
      </c>
      <c r="H145" s="51">
        <f t="shared" si="11"/>
        <v>-0.22101511193574375</v>
      </c>
      <c r="I145" s="29">
        <f>-3.9</f>
        <v>-3.9</v>
      </c>
      <c r="J145" s="31">
        <v>95.61</v>
      </c>
      <c r="K145" s="51">
        <f t="shared" si="12"/>
        <v>-3.8515687851971021E-2</v>
      </c>
      <c r="L145" s="29">
        <f>1.6</f>
        <v>1.6</v>
      </c>
      <c r="M145" s="30">
        <v>1.6</v>
      </c>
      <c r="N145" s="29">
        <f>9.7</f>
        <v>9.6999999999999993</v>
      </c>
      <c r="O145" s="29">
        <v>1512822.5</v>
      </c>
      <c r="P145" s="51">
        <f t="shared" si="10"/>
        <v>9.7111328818621973E-2</v>
      </c>
      <c r="Q145" s="29">
        <f>5.4</f>
        <v>5.4</v>
      </c>
      <c r="R145" s="43">
        <v>79.8</v>
      </c>
      <c r="S145" s="32">
        <f t="shared" si="13"/>
        <v>5.5555555555555594E-2</v>
      </c>
      <c r="T145" s="54" t="e">
        <f>VLOOKUP(A145,[1]인포맥스!$A:$I,9,0)</f>
        <v>#N/A</v>
      </c>
      <c r="U145" s="70" t="e">
        <f t="shared" si="14"/>
        <v>#N/A</v>
      </c>
    </row>
    <row r="146" spans="1:21" x14ac:dyDescent="0.25">
      <c r="A146" s="3">
        <v>39994</v>
      </c>
      <c r="B146" s="29">
        <f>85</f>
        <v>85</v>
      </c>
      <c r="C146" s="29">
        <v>77</v>
      </c>
      <c r="D146" s="50">
        <f>46.3</f>
        <v>46.3</v>
      </c>
      <c r="E146" s="30">
        <v>46.3</v>
      </c>
      <c r="F146" s="29">
        <f>-13.6</f>
        <v>-13.6</v>
      </c>
      <c r="G146" s="31">
        <v>32210</v>
      </c>
      <c r="H146" s="51">
        <f t="shared" si="11"/>
        <v>-0.1355108832765238</v>
      </c>
      <c r="I146" s="29">
        <f>-3.1</f>
        <v>-3.1</v>
      </c>
      <c r="J146" s="31">
        <v>94.53</v>
      </c>
      <c r="K146" s="51">
        <f t="shared" si="12"/>
        <v>-3.0859134713963551E-2</v>
      </c>
      <c r="L146" s="29">
        <f>2</f>
        <v>2</v>
      </c>
      <c r="M146" s="30">
        <v>2</v>
      </c>
      <c r="N146" s="29">
        <f>9.6</f>
        <v>9.6</v>
      </c>
      <c r="O146" s="29">
        <v>1501898.3</v>
      </c>
      <c r="P146" s="51">
        <f t="shared" si="10"/>
        <v>9.6493749379895133E-2</v>
      </c>
      <c r="Q146" s="29">
        <f>4.8</f>
        <v>4.8</v>
      </c>
      <c r="R146" s="43">
        <v>79.400000000000006</v>
      </c>
      <c r="S146" s="32">
        <f t="shared" si="13"/>
        <v>5.0264550264550421E-2</v>
      </c>
      <c r="T146" s="54" t="e">
        <f>VLOOKUP(A146,[1]인포맥스!$A:$I,9,0)</f>
        <v>#N/A</v>
      </c>
      <c r="U146" s="70" t="e">
        <f t="shared" si="14"/>
        <v>#N/A</v>
      </c>
    </row>
    <row r="147" spans="1:21" x14ac:dyDescent="0.25">
      <c r="A147" s="3">
        <v>39964</v>
      </c>
      <c r="B147" s="29">
        <f>83</f>
        <v>83</v>
      </c>
      <c r="C147" s="29">
        <v>74</v>
      </c>
      <c r="D147" s="50">
        <f>44.1</f>
        <v>44.1</v>
      </c>
      <c r="E147" s="30">
        <v>44.1</v>
      </c>
      <c r="F147" s="29">
        <f>-29.4</f>
        <v>-29.4</v>
      </c>
      <c r="G147" s="31">
        <v>27824</v>
      </c>
      <c r="H147" s="51">
        <f t="shared" si="11"/>
        <v>-0.29350227255414774</v>
      </c>
      <c r="I147" s="29">
        <f>-1.3</f>
        <v>-1.3</v>
      </c>
      <c r="J147" s="31">
        <v>94.78</v>
      </c>
      <c r="K147" s="51">
        <f t="shared" si="12"/>
        <v>-1.2708333333333321E-2</v>
      </c>
      <c r="L147" s="29">
        <f>2.7</f>
        <v>2.7</v>
      </c>
      <c r="M147" s="30">
        <v>2.7</v>
      </c>
      <c r="N147" s="29">
        <f>9.9</f>
        <v>9.9</v>
      </c>
      <c r="O147" s="29">
        <v>1491542.7</v>
      </c>
      <c r="P147" s="51">
        <f t="shared" si="10"/>
        <v>9.9460796812414251E-2</v>
      </c>
      <c r="Q147" s="29">
        <f>3.6</f>
        <v>3.6</v>
      </c>
      <c r="R147" s="43">
        <v>78.400000000000006</v>
      </c>
      <c r="S147" s="32">
        <f t="shared" si="13"/>
        <v>3.5667107001321037E-2</v>
      </c>
      <c r="T147" s="54" t="e">
        <f>VLOOKUP(A147,[1]인포맥스!$A:$I,9,0)</f>
        <v>#N/A</v>
      </c>
      <c r="U147" s="70" t="e">
        <f t="shared" si="14"/>
        <v>#N/A</v>
      </c>
    </row>
    <row r="148" spans="1:21" x14ac:dyDescent="0.25">
      <c r="A148" s="3">
        <v>39933</v>
      </c>
      <c r="B148" s="29">
        <f>79</f>
        <v>79</v>
      </c>
      <c r="C148" s="29">
        <v>69</v>
      </c>
      <c r="D148" s="50">
        <f>39.9</f>
        <v>39.9</v>
      </c>
      <c r="E148" s="30">
        <v>39.9</v>
      </c>
      <c r="F148" s="29">
        <f>-19.9</f>
        <v>-19.899999999999999</v>
      </c>
      <c r="G148" s="31">
        <v>30327</v>
      </c>
      <c r="H148" s="51">
        <f t="shared" si="11"/>
        <v>-0.19875825627476881</v>
      </c>
      <c r="I148" s="29">
        <f>1.5</f>
        <v>1.5</v>
      </c>
      <c r="J148" s="31">
        <v>95.51</v>
      </c>
      <c r="K148" s="51">
        <f t="shared" si="12"/>
        <v>1.4876208691956282E-2</v>
      </c>
      <c r="L148" s="29">
        <f>3.6</f>
        <v>3.6</v>
      </c>
      <c r="M148" s="30">
        <v>3.6</v>
      </c>
      <c r="N148" s="29">
        <f>10.6</f>
        <v>10.6</v>
      </c>
      <c r="O148" s="29">
        <v>1482009.7</v>
      </c>
      <c r="P148" s="51">
        <f t="shared" si="10"/>
        <v>0.10644399365732524</v>
      </c>
      <c r="Q148" s="29">
        <f>2.6</f>
        <v>2.6</v>
      </c>
      <c r="R148" s="43">
        <v>77.7</v>
      </c>
      <c r="S148" s="32">
        <f t="shared" si="13"/>
        <v>2.7777777777777894E-2</v>
      </c>
      <c r="T148" s="54" t="e">
        <f>VLOOKUP(A148,[1]인포맥스!$A:$I,9,0)</f>
        <v>#N/A</v>
      </c>
      <c r="U148" s="70" t="e">
        <f t="shared" si="14"/>
        <v>#N/A</v>
      </c>
    </row>
    <row r="149" spans="1:21" x14ac:dyDescent="0.25">
      <c r="A149" s="3">
        <v>39903</v>
      </c>
      <c r="B149" s="29">
        <f>69</f>
        <v>69</v>
      </c>
      <c r="C149" s="29">
        <v>58</v>
      </c>
      <c r="D149" s="50">
        <f>37.2</f>
        <v>37.200000000000003</v>
      </c>
      <c r="E149" s="30">
        <v>37.200000000000003</v>
      </c>
      <c r="F149" s="29">
        <f>-22.5</f>
        <v>-22.5</v>
      </c>
      <c r="G149" s="31">
        <v>27891</v>
      </c>
      <c r="H149" s="51">
        <f t="shared" si="11"/>
        <v>-0.22507779506557013</v>
      </c>
      <c r="I149" s="29">
        <f>3.5</f>
        <v>3.5</v>
      </c>
      <c r="J149" s="31">
        <v>95.4</v>
      </c>
      <c r="K149" s="51">
        <f t="shared" si="12"/>
        <v>3.5268583830710798E-2</v>
      </c>
      <c r="L149" s="29">
        <f>3.9</f>
        <v>3.9</v>
      </c>
      <c r="M149" s="30">
        <v>3.9</v>
      </c>
      <c r="N149" s="29">
        <f>11.4</f>
        <v>11.4</v>
      </c>
      <c r="O149" s="29">
        <v>1470443.1</v>
      </c>
      <c r="P149" s="51">
        <f t="shared" si="10"/>
        <v>0.11057914204082735</v>
      </c>
      <c r="Q149" s="29">
        <f>1.3</f>
        <v>1.3</v>
      </c>
      <c r="R149" s="43">
        <v>76.599999999999994</v>
      </c>
      <c r="S149" s="32">
        <f t="shared" si="13"/>
        <v>1.3227513227513229E-2</v>
      </c>
      <c r="T149" s="54" t="e">
        <f>VLOOKUP(A149,[1]인포맥스!$A:$I,9,0)</f>
        <v>#N/A</v>
      </c>
      <c r="U149" s="70" t="e">
        <f t="shared" si="14"/>
        <v>#N/A</v>
      </c>
    </row>
    <row r="150" spans="1:21" x14ac:dyDescent="0.25">
      <c r="A150" s="3">
        <v>39872</v>
      </c>
      <c r="B150" s="29">
        <f>62</f>
        <v>62</v>
      </c>
      <c r="C150" s="29">
        <v>52</v>
      </c>
      <c r="D150" s="50">
        <f>36.6</f>
        <v>36.6</v>
      </c>
      <c r="E150" s="30">
        <v>36.6</v>
      </c>
      <c r="F150" s="29">
        <f>-18.5</f>
        <v>-18.5</v>
      </c>
      <c r="G150" s="31">
        <v>25397</v>
      </c>
      <c r="H150" s="51">
        <f t="shared" si="11"/>
        <v>-0.18541920585027905</v>
      </c>
      <c r="I150" s="29">
        <f>4.4</f>
        <v>4.4000000000000004</v>
      </c>
      <c r="J150" s="31">
        <v>94.95</v>
      </c>
      <c r="K150" s="51">
        <f t="shared" si="12"/>
        <v>4.3750687039683454E-2</v>
      </c>
      <c r="L150" s="29">
        <f>4.1</f>
        <v>4.0999999999999996</v>
      </c>
      <c r="M150" s="30">
        <v>4.0999999999999996</v>
      </c>
      <c r="N150" s="29">
        <f>11.4</f>
        <v>11.4</v>
      </c>
      <c r="O150" s="29">
        <v>1457931.3</v>
      </c>
      <c r="P150" s="51">
        <f t="shared" si="10"/>
        <v>0.11363729934965261</v>
      </c>
      <c r="Q150" s="29">
        <f>0.7</f>
        <v>0.7</v>
      </c>
      <c r="R150" s="43">
        <v>76.099999999999994</v>
      </c>
      <c r="S150" s="32">
        <f t="shared" si="13"/>
        <v>5.2840158520474434E-3</v>
      </c>
      <c r="T150" s="54" t="e">
        <f>VLOOKUP(A150,[1]인포맥스!$A:$I,9,0)</f>
        <v>#N/A</v>
      </c>
      <c r="U150" s="70" t="e">
        <f t="shared" si="14"/>
        <v>#N/A</v>
      </c>
    </row>
    <row r="151" spans="1:21" x14ac:dyDescent="0.25">
      <c r="A151" s="3">
        <v>39844</v>
      </c>
      <c r="B151" s="29">
        <f>63</f>
        <v>63</v>
      </c>
      <c r="C151" s="29">
        <v>52</v>
      </c>
      <c r="D151" s="50">
        <f>36.4</f>
        <v>36.4</v>
      </c>
      <c r="E151" s="30">
        <v>36.4</v>
      </c>
      <c r="F151" s="29">
        <f>-34.5</f>
        <v>-34.5</v>
      </c>
      <c r="G151" s="31">
        <v>21133</v>
      </c>
      <c r="H151" s="51">
        <f t="shared" si="11"/>
        <v>-0.34522075910147171</v>
      </c>
      <c r="I151" s="29">
        <f>4.6</f>
        <v>4.5999999999999996</v>
      </c>
      <c r="J151" s="31">
        <v>94.31</v>
      </c>
      <c r="K151" s="51">
        <f t="shared" si="12"/>
        <v>4.63774547875292E-2</v>
      </c>
      <c r="L151" s="29">
        <f>3.7</f>
        <v>3.7</v>
      </c>
      <c r="M151" s="30">
        <v>3.7</v>
      </c>
      <c r="N151" s="29">
        <f>12</f>
        <v>12</v>
      </c>
      <c r="O151" s="29">
        <v>1440275.8</v>
      </c>
      <c r="P151" s="51">
        <f t="shared" si="10"/>
        <v>0.11961059315716213</v>
      </c>
      <c r="Q151" s="29">
        <f>0.4</f>
        <v>0.4</v>
      </c>
      <c r="R151" s="43">
        <v>75.7</v>
      </c>
      <c r="S151" s="32">
        <f t="shared" si="13"/>
        <v>-1.3192612137202418E-3</v>
      </c>
      <c r="T151" s="54" t="e">
        <f>VLOOKUP(A151,[1]인포맥스!$A:$I,9,0)</f>
        <v>#N/A</v>
      </c>
      <c r="U151" s="70" t="e">
        <f t="shared" si="14"/>
        <v>#N/A</v>
      </c>
    </row>
    <row r="152" spans="1:21" x14ac:dyDescent="0.25">
      <c r="A152" s="3">
        <v>39813</v>
      </c>
      <c r="B152" s="29">
        <f>71</f>
        <v>71</v>
      </c>
      <c r="C152" s="29">
        <v>51</v>
      </c>
      <c r="D152" s="50">
        <f>34.5</f>
        <v>34.5</v>
      </c>
      <c r="E152" s="30">
        <v>34.5</v>
      </c>
      <c r="F152" s="29">
        <f>-17.9</f>
        <v>-17.899999999999999</v>
      </c>
      <c r="G152" s="31">
        <v>27118</v>
      </c>
      <c r="H152" s="51">
        <f t="shared" si="11"/>
        <v>-0.17821752174308311</v>
      </c>
      <c r="I152" s="29">
        <f>5.5</f>
        <v>5.5</v>
      </c>
      <c r="J152" s="31">
        <v>94.58</v>
      </c>
      <c r="K152" s="51">
        <f t="shared" si="12"/>
        <v>5.5227044516345011E-2</v>
      </c>
      <c r="L152" s="29">
        <f>4.1</f>
        <v>4.0999999999999996</v>
      </c>
      <c r="M152" s="30">
        <v>4.0999999999999996</v>
      </c>
      <c r="N152" s="29">
        <f>13.1</f>
        <v>13.1</v>
      </c>
      <c r="O152" s="29">
        <v>1436298.3</v>
      </c>
      <c r="P152" s="51">
        <f t="shared" si="10"/>
        <v>0.13136892020425006</v>
      </c>
      <c r="Q152" s="29">
        <f>0.5</f>
        <v>0.5</v>
      </c>
      <c r="R152" s="43">
        <v>75.7</v>
      </c>
      <c r="S152" s="32">
        <f t="shared" si="13"/>
        <v>-1.3192612137202418E-3</v>
      </c>
      <c r="T152" s="54" t="e">
        <f>VLOOKUP(A152,[1]인포맥스!$A:$I,9,0)</f>
        <v>#N/A</v>
      </c>
      <c r="U152" s="70" t="e">
        <f t="shared" si="14"/>
        <v>#N/A</v>
      </c>
    </row>
    <row r="153" spans="1:21" x14ac:dyDescent="0.25">
      <c r="A153" s="3">
        <v>39782</v>
      </c>
      <c r="B153" s="29">
        <f>79</f>
        <v>79</v>
      </c>
      <c r="C153" s="29">
        <v>55</v>
      </c>
      <c r="D153" s="50">
        <f>39</f>
        <v>39</v>
      </c>
      <c r="E153" s="30">
        <v>39</v>
      </c>
      <c r="F153" s="29">
        <f>-19.5</f>
        <v>-19.5</v>
      </c>
      <c r="G153" s="31">
        <v>28842</v>
      </c>
      <c r="H153" s="51">
        <f t="shared" si="11"/>
        <v>-0.19476240996147187</v>
      </c>
      <c r="I153" s="29">
        <f>7.8</f>
        <v>7.8</v>
      </c>
      <c r="J153" s="31">
        <v>96.2</v>
      </c>
      <c r="K153" s="51">
        <f t="shared" si="12"/>
        <v>7.7629662820656517E-2</v>
      </c>
      <c r="L153" s="29">
        <f>4.5</f>
        <v>4.5</v>
      </c>
      <c r="M153" s="30">
        <v>4.5</v>
      </c>
      <c r="N153" s="29">
        <f>14</f>
        <v>14</v>
      </c>
      <c r="O153" s="29">
        <v>1426165.1</v>
      </c>
      <c r="P153" s="51">
        <f t="shared" si="10"/>
        <v>0.1402113751939674</v>
      </c>
      <c r="Q153" s="29">
        <f>0.8</f>
        <v>0.8</v>
      </c>
      <c r="R153" s="43">
        <v>75.8</v>
      </c>
      <c r="S153" s="32">
        <f t="shared" si="13"/>
        <v>3.9735099337747971E-3</v>
      </c>
      <c r="T153" s="54" t="e">
        <f>VLOOKUP(A153,[1]인포맥스!$A:$I,9,0)</f>
        <v>#N/A</v>
      </c>
      <c r="U153" s="70" t="e">
        <f t="shared" si="14"/>
        <v>#N/A</v>
      </c>
    </row>
    <row r="154" spans="1:21" x14ac:dyDescent="0.25">
      <c r="A154" s="3">
        <v>39752</v>
      </c>
      <c r="B154" s="29">
        <f>89</f>
        <v>89</v>
      </c>
      <c r="C154" s="29">
        <v>64</v>
      </c>
      <c r="D154" s="50">
        <f>38.2</f>
        <v>38.200000000000003</v>
      </c>
      <c r="E154" s="30">
        <v>38.200000000000003</v>
      </c>
      <c r="F154" s="29">
        <f>7.8</f>
        <v>7.8</v>
      </c>
      <c r="G154" s="31">
        <v>37111</v>
      </c>
      <c r="H154" s="51">
        <f t="shared" si="11"/>
        <v>7.577470504681566E-2</v>
      </c>
      <c r="I154" s="29">
        <f>10.8</f>
        <v>10.8</v>
      </c>
      <c r="J154" s="31">
        <v>98.49</v>
      </c>
      <c r="K154" s="51">
        <f t="shared" si="12"/>
        <v>0.10787401574803136</v>
      </c>
      <c r="L154" s="29">
        <f>4.8</f>
        <v>4.8</v>
      </c>
      <c r="M154" s="30">
        <v>4.8</v>
      </c>
      <c r="N154" s="29">
        <f>14.2</f>
        <v>14.2</v>
      </c>
      <c r="O154" s="29">
        <v>1403984.2</v>
      </c>
      <c r="P154" s="51">
        <f t="shared" si="10"/>
        <v>0.14168995271447554</v>
      </c>
      <c r="Q154" s="29">
        <f>1.3</f>
        <v>1.3</v>
      </c>
      <c r="R154" s="43">
        <v>76</v>
      </c>
      <c r="S154" s="32">
        <f t="shared" si="13"/>
        <v>1.0638297872340387E-2</v>
      </c>
      <c r="T154" s="54" t="e">
        <f>VLOOKUP(A154,[1]인포맥스!$A:$I,9,0)</f>
        <v>#N/A</v>
      </c>
      <c r="U154" s="70" t="e">
        <f t="shared" si="14"/>
        <v>#N/A</v>
      </c>
    </row>
    <row r="155" spans="1:21" x14ac:dyDescent="0.25">
      <c r="A155" s="3">
        <v>39721</v>
      </c>
      <c r="B155" s="29">
        <f>94</f>
        <v>94</v>
      </c>
      <c r="C155" s="29">
        <v>73</v>
      </c>
      <c r="D155" s="50">
        <f>47.2</f>
        <v>47.2</v>
      </c>
      <c r="E155" s="30">
        <v>47.2</v>
      </c>
      <c r="F155" s="29">
        <f>27.6</f>
        <v>27.6</v>
      </c>
      <c r="G155" s="31">
        <v>37428</v>
      </c>
      <c r="H155" s="51">
        <f t="shared" si="11"/>
        <v>0.27384112722074738</v>
      </c>
      <c r="I155" s="29">
        <f>11.3</f>
        <v>11.3</v>
      </c>
      <c r="J155" s="31">
        <v>98.75</v>
      </c>
      <c r="K155" s="51">
        <f t="shared" si="12"/>
        <v>0.11305229936880073</v>
      </c>
      <c r="L155" s="29">
        <f>5.1</f>
        <v>5.0999999999999996</v>
      </c>
      <c r="M155" s="30">
        <v>5.0999999999999996</v>
      </c>
      <c r="N155" s="29">
        <f>14.5</f>
        <v>14.5</v>
      </c>
      <c r="O155" s="29">
        <v>1395719.2</v>
      </c>
      <c r="P155" s="51">
        <f t="shared" si="10"/>
        <v>0.14472168521841547</v>
      </c>
      <c r="Q155" s="29">
        <f>1.5</f>
        <v>1.5</v>
      </c>
      <c r="R155" s="43">
        <v>76</v>
      </c>
      <c r="S155" s="32">
        <f t="shared" si="13"/>
        <v>1.3333333333333334E-2</v>
      </c>
      <c r="T155" s="54" t="e">
        <f>VLOOKUP(A155,[1]인포맥스!$A:$I,9,0)</f>
        <v>#N/A</v>
      </c>
      <c r="U155" s="70" t="e">
        <f t="shared" si="14"/>
        <v>#N/A</v>
      </c>
    </row>
    <row r="156" spans="1:21" x14ac:dyDescent="0.25">
      <c r="A156" s="3">
        <v>39691</v>
      </c>
      <c r="B156" s="29">
        <f>99</f>
        <v>99</v>
      </c>
      <c r="C156" s="29">
        <v>73</v>
      </c>
      <c r="D156" s="50">
        <f>50.1</f>
        <v>50.1</v>
      </c>
      <c r="E156" s="30">
        <v>50.1</v>
      </c>
      <c r="F156" s="29">
        <f>18.1</f>
        <v>18.100000000000001</v>
      </c>
      <c r="G156" s="31">
        <v>36611</v>
      </c>
      <c r="H156" s="51">
        <f t="shared" si="11"/>
        <v>0.18050494953729082</v>
      </c>
      <c r="I156" s="29">
        <f>12.3</f>
        <v>12.3</v>
      </c>
      <c r="J156" s="31">
        <v>99.16</v>
      </c>
      <c r="K156" s="51">
        <f t="shared" si="12"/>
        <v>0.12298980747451868</v>
      </c>
      <c r="L156" s="29">
        <f>5.6</f>
        <v>5.6</v>
      </c>
      <c r="M156" s="30">
        <v>5.6</v>
      </c>
      <c r="N156" s="29">
        <f>14.7</f>
        <v>14.7</v>
      </c>
      <c r="O156" s="29">
        <v>1386101.1</v>
      </c>
      <c r="P156" s="51">
        <f t="shared" si="10"/>
        <v>0.14738453484814573</v>
      </c>
      <c r="Q156" s="29">
        <f>1.7</f>
        <v>1.7</v>
      </c>
      <c r="R156" s="43">
        <v>75.8</v>
      </c>
      <c r="S156" s="32">
        <f t="shared" si="13"/>
        <v>1.4725568942436335E-2</v>
      </c>
      <c r="T156" s="54" t="e">
        <f>VLOOKUP(A156,[1]인포맥스!$A:$I,9,0)</f>
        <v>#N/A</v>
      </c>
      <c r="U156" s="70" t="e">
        <f t="shared" si="14"/>
        <v>#N/A</v>
      </c>
    </row>
    <row r="157" spans="1:21" x14ac:dyDescent="0.25">
      <c r="A157" s="3">
        <v>39660</v>
      </c>
      <c r="B157" s="29">
        <f>102</f>
        <v>102</v>
      </c>
      <c r="C157" s="29">
        <v>75</v>
      </c>
      <c r="D157" s="50">
        <f>50.8</f>
        <v>50.8</v>
      </c>
      <c r="E157" s="30">
        <v>50.8</v>
      </c>
      <c r="F157" s="29">
        <f>35.6</f>
        <v>35.6</v>
      </c>
      <c r="G157" s="31">
        <v>40961</v>
      </c>
      <c r="H157" s="51">
        <f t="shared" si="11"/>
        <v>0.35542686962276637</v>
      </c>
      <c r="I157" s="29">
        <f>12.6</f>
        <v>12.6</v>
      </c>
      <c r="J157" s="31">
        <v>99.44</v>
      </c>
      <c r="K157" s="51">
        <f t="shared" si="12"/>
        <v>0.12552348613469161</v>
      </c>
      <c r="L157" s="29">
        <f>5.9</f>
        <v>5.9</v>
      </c>
      <c r="M157" s="30">
        <v>5.9</v>
      </c>
      <c r="N157" s="29">
        <f>14.8</f>
        <v>14.8</v>
      </c>
      <c r="O157" s="29">
        <v>1378914.3</v>
      </c>
      <c r="P157" s="51">
        <f t="shared" si="10"/>
        <v>0.14824105434232393</v>
      </c>
      <c r="Q157" s="29">
        <f>1.9</f>
        <v>1.9</v>
      </c>
      <c r="R157" s="43">
        <v>75.599999999999994</v>
      </c>
      <c r="S157" s="32">
        <f t="shared" si="13"/>
        <v>1.7496635262449493E-2</v>
      </c>
      <c r="T157" s="54" t="e">
        <f>VLOOKUP(A157,[1]인포맥스!$A:$I,9,0)</f>
        <v>#N/A</v>
      </c>
      <c r="U157" s="70" t="e">
        <f t="shared" si="14"/>
        <v>#N/A</v>
      </c>
    </row>
    <row r="158" spans="1:21" x14ac:dyDescent="0.25">
      <c r="A158" s="3">
        <v>39629</v>
      </c>
      <c r="B158" s="29">
        <f>105</f>
        <v>105</v>
      </c>
      <c r="C158" s="29">
        <v>76</v>
      </c>
      <c r="D158" s="50">
        <f>49.9</f>
        <v>49.9</v>
      </c>
      <c r="E158" s="30">
        <v>49.9</v>
      </c>
      <c r="F158" s="29">
        <f>16.4</f>
        <v>16.399999999999999</v>
      </c>
      <c r="G158" s="31">
        <v>37259</v>
      </c>
      <c r="H158" s="51">
        <f t="shared" si="11"/>
        <v>0.16445291746101198</v>
      </c>
      <c r="I158" s="29">
        <f>10.5</f>
        <v>10.5</v>
      </c>
      <c r="J158" s="31">
        <v>97.54</v>
      </c>
      <c r="K158" s="51">
        <f t="shared" si="12"/>
        <v>0.10539437896645526</v>
      </c>
      <c r="L158" s="29">
        <f>5.5</f>
        <v>5.5</v>
      </c>
      <c r="M158" s="30">
        <v>5.5</v>
      </c>
      <c r="N158" s="29">
        <f>15.1</f>
        <v>15.1</v>
      </c>
      <c r="O158" s="29">
        <v>1369728.1</v>
      </c>
      <c r="P158" s="51">
        <f t="shared" si="10"/>
        <v>0.1509544482800404</v>
      </c>
      <c r="Q158" s="29">
        <f>2.3</f>
        <v>2.2999999999999998</v>
      </c>
      <c r="R158" s="43">
        <v>75.599999999999994</v>
      </c>
      <c r="S158" s="32">
        <f t="shared" si="13"/>
        <v>2.4390243902438987E-2</v>
      </c>
      <c r="T158" s="54" t="e">
        <f>VLOOKUP(A158,[1]인포맥스!$A:$I,9,0)</f>
        <v>#N/A</v>
      </c>
      <c r="U158" s="70" t="e">
        <f t="shared" si="14"/>
        <v>#N/A</v>
      </c>
    </row>
    <row r="159" spans="1:21" x14ac:dyDescent="0.25">
      <c r="A159" s="3">
        <v>39599</v>
      </c>
      <c r="B159" s="29">
        <f>105</f>
        <v>105</v>
      </c>
      <c r="C159" s="29">
        <v>82</v>
      </c>
      <c r="D159" s="50">
        <f>48.9</f>
        <v>48.9</v>
      </c>
      <c r="E159" s="30">
        <v>48.9</v>
      </c>
      <c r="F159" s="29">
        <f>26.9</f>
        <v>26.9</v>
      </c>
      <c r="G159" s="31">
        <v>39383</v>
      </c>
      <c r="H159" s="51">
        <f t="shared" si="11"/>
        <v>0.26853700959866006</v>
      </c>
      <c r="I159" s="29">
        <f>9</f>
        <v>9</v>
      </c>
      <c r="J159" s="31">
        <v>96</v>
      </c>
      <c r="K159" s="51">
        <f t="shared" si="12"/>
        <v>9.0165796048148963E-2</v>
      </c>
      <c r="L159" s="29">
        <f>4.9</f>
        <v>4.9000000000000004</v>
      </c>
      <c r="M159" s="30">
        <v>4.9000000000000004</v>
      </c>
      <c r="N159" s="29">
        <f>15.8</f>
        <v>15.8</v>
      </c>
      <c r="O159" s="29">
        <v>1356612.9</v>
      </c>
      <c r="P159" s="51">
        <f t="shared" si="10"/>
        <v>0.15836122902955765</v>
      </c>
      <c r="Q159" s="29">
        <f>2.8</f>
        <v>2.8</v>
      </c>
      <c r="R159" s="43">
        <v>75.7</v>
      </c>
      <c r="S159" s="32">
        <f t="shared" si="13"/>
        <v>3.2742155525238827E-2</v>
      </c>
      <c r="T159" s="54" t="e">
        <f>VLOOKUP(A159,[1]인포맥스!$A:$I,9,0)</f>
        <v>#N/A</v>
      </c>
      <c r="U159" s="70" t="e">
        <f t="shared" si="14"/>
        <v>#N/A</v>
      </c>
    </row>
    <row r="160" spans="1:21" x14ac:dyDescent="0.25">
      <c r="A160" s="3">
        <v>39568</v>
      </c>
      <c r="B160" s="29">
        <f>108</f>
        <v>108</v>
      </c>
      <c r="C160" s="29">
        <v>85</v>
      </c>
      <c r="D160" s="50">
        <f>48.5</f>
        <v>48.5</v>
      </c>
      <c r="E160" s="30">
        <v>48.5</v>
      </c>
      <c r="F160" s="29">
        <f>26.4</f>
        <v>26.4</v>
      </c>
      <c r="G160" s="31">
        <v>37850</v>
      </c>
      <c r="H160" s="51">
        <f t="shared" si="11"/>
        <v>0.26385735274475758</v>
      </c>
      <c r="I160" s="29">
        <f>7.5</f>
        <v>7.5</v>
      </c>
      <c r="J160" s="31">
        <v>94.11</v>
      </c>
      <c r="K160" s="51">
        <f t="shared" si="12"/>
        <v>7.4683110654333751E-2</v>
      </c>
      <c r="L160" s="29">
        <f>4.1</f>
        <v>4.0999999999999996</v>
      </c>
      <c r="M160" s="30">
        <v>4.0999999999999996</v>
      </c>
      <c r="N160" s="29">
        <f>14.9</f>
        <v>14.9</v>
      </c>
      <c r="O160" s="29">
        <v>1339434.8999999999</v>
      </c>
      <c r="P160" s="51">
        <f t="shared" si="10"/>
        <v>0.1494424139549691</v>
      </c>
      <c r="Q160" s="29">
        <f>3.1</f>
        <v>3.1</v>
      </c>
      <c r="R160" s="43">
        <v>75.599999999999994</v>
      </c>
      <c r="S160" s="32">
        <f t="shared" si="13"/>
        <v>3.5616438356164307E-2</v>
      </c>
      <c r="T160" s="54" t="e">
        <f>VLOOKUP(A160,[1]인포맥스!$A:$I,9,0)</f>
        <v>#N/A</v>
      </c>
      <c r="U160" s="70" t="e">
        <f t="shared" si="14"/>
        <v>#N/A</v>
      </c>
    </row>
    <row r="161" spans="1:21" x14ac:dyDescent="0.25">
      <c r="A161" s="3">
        <v>39538</v>
      </c>
      <c r="B161" s="29">
        <f>102</f>
        <v>102</v>
      </c>
      <c r="C161" s="29">
        <v>81</v>
      </c>
      <c r="D161" s="50">
        <f>49.7</f>
        <v>49.7</v>
      </c>
      <c r="E161" s="30">
        <v>49.7</v>
      </c>
      <c r="F161" s="29">
        <f>18.4</f>
        <v>18.399999999999999</v>
      </c>
      <c r="G161" s="31">
        <v>35992</v>
      </c>
      <c r="H161" s="51">
        <f t="shared" si="11"/>
        <v>0.18437592549935833</v>
      </c>
      <c r="I161" s="29">
        <f>6</f>
        <v>6</v>
      </c>
      <c r="J161" s="31">
        <v>92.15</v>
      </c>
      <c r="K161" s="51">
        <f t="shared" si="12"/>
        <v>5.9682612695492319E-2</v>
      </c>
      <c r="L161" s="29">
        <f>3.9</f>
        <v>3.9</v>
      </c>
      <c r="M161" s="30">
        <v>3.9</v>
      </c>
      <c r="N161" s="29">
        <f>13.9</f>
        <v>13.9</v>
      </c>
      <c r="O161" s="29">
        <v>1324032.7</v>
      </c>
      <c r="P161" s="51">
        <f t="shared" si="10"/>
        <v>0.13902213235678065</v>
      </c>
      <c r="Q161" s="29">
        <f>3.6</f>
        <v>3.6</v>
      </c>
      <c r="R161" s="43">
        <v>75.599999999999994</v>
      </c>
      <c r="S161" s="32">
        <f t="shared" si="13"/>
        <v>3.9889958734525326E-2</v>
      </c>
      <c r="T161" s="54" t="e">
        <f>VLOOKUP(A161,[1]인포맥스!$A:$I,9,0)</f>
        <v>#N/A</v>
      </c>
      <c r="U161" s="70" t="e">
        <f t="shared" si="14"/>
        <v>#N/A</v>
      </c>
    </row>
    <row r="162" spans="1:21" x14ac:dyDescent="0.25">
      <c r="A162" s="3">
        <v>39507</v>
      </c>
      <c r="B162" s="29">
        <f>99</f>
        <v>99</v>
      </c>
      <c r="C162" s="29">
        <v>83</v>
      </c>
      <c r="D162" s="50">
        <f>48.8</f>
        <v>48.8</v>
      </c>
      <c r="E162" s="30">
        <v>48.8</v>
      </c>
      <c r="F162" s="29">
        <f>18.9</f>
        <v>18.899999999999999</v>
      </c>
      <c r="G162" s="31">
        <v>31178</v>
      </c>
      <c r="H162" s="51">
        <f t="shared" si="11"/>
        <v>0.18877492660235634</v>
      </c>
      <c r="I162" s="29">
        <f>5.1</f>
        <v>5.0999999999999996</v>
      </c>
      <c r="J162" s="31">
        <v>90.97</v>
      </c>
      <c r="K162" s="51">
        <f t="shared" si="12"/>
        <v>5.0583208222658452E-2</v>
      </c>
      <c r="L162" s="29">
        <f>3.6</f>
        <v>3.6</v>
      </c>
      <c r="M162" s="30">
        <v>3.6</v>
      </c>
      <c r="N162" s="29">
        <f>13.4</f>
        <v>13.4</v>
      </c>
      <c r="O162" s="29">
        <v>1309161.7</v>
      </c>
      <c r="P162" s="51">
        <f t="shared" si="10"/>
        <v>0.13434859867631188</v>
      </c>
      <c r="Q162" s="29">
        <f>4.2</f>
        <v>4.2</v>
      </c>
      <c r="R162" s="43">
        <v>75.7</v>
      </c>
      <c r="S162" s="32">
        <f t="shared" si="13"/>
        <v>4.4137931034482797E-2</v>
      </c>
      <c r="T162" s="54" t="e">
        <f>VLOOKUP(A162,[1]인포맥스!$A:$I,9,0)</f>
        <v>#N/A</v>
      </c>
      <c r="U162" s="70" t="e">
        <f t="shared" si="14"/>
        <v>#N/A</v>
      </c>
    </row>
    <row r="163" spans="1:21" x14ac:dyDescent="0.25">
      <c r="A163" s="3">
        <v>39478</v>
      </c>
      <c r="B163" s="29">
        <f>102</f>
        <v>102</v>
      </c>
      <c r="C163" s="29">
        <v>83</v>
      </c>
      <c r="D163" s="50">
        <f>50.9</f>
        <v>50.9</v>
      </c>
      <c r="E163" s="30">
        <v>50.9</v>
      </c>
      <c r="F163" s="29">
        <f>14.9</f>
        <v>14.9</v>
      </c>
      <c r="G163" s="31">
        <v>32275</v>
      </c>
      <c r="H163" s="51">
        <f t="shared" si="11"/>
        <v>0.14869914937537815</v>
      </c>
      <c r="I163" s="29">
        <f>4.1</f>
        <v>4.0999999999999996</v>
      </c>
      <c r="J163" s="31">
        <v>90.13</v>
      </c>
      <c r="K163" s="51">
        <f t="shared" si="12"/>
        <v>4.148370695632065E-2</v>
      </c>
      <c r="L163" s="29">
        <f>3.9</f>
        <v>3.9</v>
      </c>
      <c r="M163" s="30">
        <v>3.9</v>
      </c>
      <c r="N163" s="29">
        <f>12.5</f>
        <v>12.5</v>
      </c>
      <c r="O163" s="29">
        <v>1286407.8</v>
      </c>
      <c r="P163" s="51">
        <f t="shared" si="10"/>
        <v>0.12466431412984753</v>
      </c>
      <c r="Q163" s="29">
        <f>4.8</f>
        <v>4.8</v>
      </c>
      <c r="R163" s="43">
        <v>75.8</v>
      </c>
      <c r="S163" s="32">
        <f t="shared" si="13"/>
        <v>4.9861495844875266E-2</v>
      </c>
      <c r="T163" s="54" t="e">
        <f>VLOOKUP(A163,[1]인포맥스!$A:$I,9,0)</f>
        <v>#N/A</v>
      </c>
      <c r="U163" s="70" t="e">
        <f t="shared" si="14"/>
        <v>#N/A</v>
      </c>
    </row>
    <row r="164" spans="1:21" x14ac:dyDescent="0.25">
      <c r="A164" s="3">
        <v>39447</v>
      </c>
      <c r="B164" s="29">
        <f>105</f>
        <v>105</v>
      </c>
      <c r="C164" s="29">
        <v>85</v>
      </c>
      <c r="D164" s="50">
        <f>50.1</f>
        <v>50.1</v>
      </c>
      <c r="E164" s="30">
        <v>50.1</v>
      </c>
      <c r="F164" s="29">
        <f>14.8</f>
        <v>14.8</v>
      </c>
      <c r="G164" s="31">
        <v>32999</v>
      </c>
      <c r="H164" s="51">
        <f t="shared" si="11"/>
        <v>0.14679409209383146</v>
      </c>
      <c r="I164" s="29">
        <f>3.6</f>
        <v>3.6</v>
      </c>
      <c r="J164" s="31">
        <v>89.63</v>
      </c>
      <c r="K164" s="51">
        <f t="shared" si="12"/>
        <v>3.582572518201773E-2</v>
      </c>
      <c r="L164" s="29">
        <f>3.6</f>
        <v>3.6</v>
      </c>
      <c r="M164" s="30">
        <v>3.6</v>
      </c>
      <c r="N164" s="29">
        <f>11.5</f>
        <v>11.5</v>
      </c>
      <c r="O164" s="29">
        <v>1269522.5</v>
      </c>
      <c r="P164" s="51">
        <f t="shared" si="10"/>
        <v>0.11528377297459227</v>
      </c>
      <c r="Q164" s="29">
        <f>5.1</f>
        <v>5.0999999999999996</v>
      </c>
      <c r="R164" s="43">
        <v>75.8</v>
      </c>
      <c r="S164" s="32">
        <f t="shared" si="13"/>
        <v>5.4242002781641048E-2</v>
      </c>
      <c r="T164" s="54" t="e">
        <f>VLOOKUP(A164,[1]인포맥스!$A:$I,9,0)</f>
        <v>#N/A</v>
      </c>
      <c r="U164" s="70" t="e">
        <f t="shared" si="14"/>
        <v>#N/A</v>
      </c>
    </row>
    <row r="165" spans="1:21" x14ac:dyDescent="0.25">
      <c r="A165" s="3">
        <v>39416</v>
      </c>
      <c r="B165" s="29">
        <f>107</f>
        <v>107</v>
      </c>
      <c r="C165" s="29">
        <v>88</v>
      </c>
      <c r="D165" s="50">
        <f>51.5</f>
        <v>51.5</v>
      </c>
      <c r="E165" s="30">
        <v>51.5</v>
      </c>
      <c r="F165" s="29">
        <f>17</f>
        <v>17</v>
      </c>
      <c r="G165" s="31">
        <v>35818</v>
      </c>
      <c r="H165" s="51">
        <f t="shared" si="11"/>
        <v>0.16819412282704413</v>
      </c>
      <c r="I165" s="29">
        <f>3.1</f>
        <v>3.1</v>
      </c>
      <c r="J165" s="31">
        <v>89.27</v>
      </c>
      <c r="K165" s="51">
        <f t="shared" si="12"/>
        <v>3.0712388869645498E-2</v>
      </c>
      <c r="L165" s="29">
        <f>3.5</f>
        <v>3.5</v>
      </c>
      <c r="M165" s="30">
        <v>3.5</v>
      </c>
      <c r="N165" s="29">
        <f>11.3</f>
        <v>11.3</v>
      </c>
      <c r="O165" s="29">
        <v>1250790.1000000001</v>
      </c>
      <c r="P165" s="51">
        <f t="shared" si="10"/>
        <v>0.11308520864639472</v>
      </c>
      <c r="Q165" s="29">
        <f>5</f>
        <v>5</v>
      </c>
      <c r="R165" s="43">
        <v>75.5</v>
      </c>
      <c r="S165" s="32">
        <f t="shared" si="13"/>
        <v>5.1532033426183885E-2</v>
      </c>
      <c r="T165" s="54" t="e">
        <f>VLOOKUP(A165,[1]인포맥스!$A:$I,9,0)</f>
        <v>#N/A</v>
      </c>
      <c r="U165" s="70" t="e">
        <f t="shared" si="14"/>
        <v>#N/A</v>
      </c>
    </row>
    <row r="166" spans="1:21" x14ac:dyDescent="0.25">
      <c r="A166" s="3">
        <v>39386</v>
      </c>
      <c r="B166" s="29">
        <f>103</f>
        <v>103</v>
      </c>
      <c r="C166" s="29">
        <v>87</v>
      </c>
      <c r="D166" s="50">
        <f>52.8</f>
        <v>52.8</v>
      </c>
      <c r="E166" s="30">
        <v>52.8</v>
      </c>
      <c r="F166" s="29">
        <f>22.9</f>
        <v>22.9</v>
      </c>
      <c r="G166" s="31">
        <v>34497</v>
      </c>
      <c r="H166" s="51">
        <f t="shared" si="11"/>
        <v>0.22795714234862777</v>
      </c>
      <c r="I166" s="29">
        <f>2.1</f>
        <v>2.1</v>
      </c>
      <c r="J166" s="31">
        <v>88.9</v>
      </c>
      <c r="K166" s="51">
        <f t="shared" si="12"/>
        <v>2.1486843617143567E-2</v>
      </c>
      <c r="L166" s="29">
        <f>3</f>
        <v>3</v>
      </c>
      <c r="M166" s="30">
        <v>3</v>
      </c>
      <c r="N166" s="29">
        <f>10.8</f>
        <v>10.8</v>
      </c>
      <c r="O166" s="29">
        <v>1229742.1000000001</v>
      </c>
      <c r="P166" s="51">
        <f t="shared" si="10"/>
        <v>0.10751567350759578</v>
      </c>
      <c r="Q166" s="29">
        <f>4.9</f>
        <v>4.9000000000000004</v>
      </c>
      <c r="R166" s="43">
        <v>75.2</v>
      </c>
      <c r="S166" s="32">
        <f t="shared" si="13"/>
        <v>5.1748251748251789E-2</v>
      </c>
      <c r="T166" s="54" t="e">
        <f>VLOOKUP(A166,[1]인포맥스!$A:$I,9,0)</f>
        <v>#N/A</v>
      </c>
      <c r="U166" s="70" t="e">
        <f t="shared" si="14"/>
        <v>#N/A</v>
      </c>
    </row>
    <row r="167" spans="1:21" x14ac:dyDescent="0.25">
      <c r="A167" s="3">
        <v>39355</v>
      </c>
      <c r="B167" s="29">
        <f>102</f>
        <v>102</v>
      </c>
      <c r="C167" s="29">
        <v>87</v>
      </c>
      <c r="D167" s="50">
        <f>53.8</f>
        <v>53.8</v>
      </c>
      <c r="E167" s="30">
        <v>53.8</v>
      </c>
      <c r="F167" s="29">
        <f>-1.1</f>
        <v>-1.1000000000000001</v>
      </c>
      <c r="G167" s="31">
        <v>29382</v>
      </c>
      <c r="H167" s="51">
        <f t="shared" si="11"/>
        <v>-1.2170521785906401E-2</v>
      </c>
      <c r="I167" s="29">
        <f>1</f>
        <v>1</v>
      </c>
      <c r="J167" s="31">
        <v>88.72</v>
      </c>
      <c r="K167" s="51">
        <f t="shared" si="12"/>
        <v>1.0018214936247671E-2</v>
      </c>
      <c r="L167" s="29">
        <f>2.3</f>
        <v>2.2999999999999998</v>
      </c>
      <c r="M167" s="30">
        <v>2.2999999999999998</v>
      </c>
      <c r="N167" s="29">
        <f>11</f>
        <v>11</v>
      </c>
      <c r="O167" s="29">
        <v>1219265.1000000001</v>
      </c>
      <c r="P167" s="51">
        <f t="shared" si="10"/>
        <v>0.10999275156626084</v>
      </c>
      <c r="Q167" s="29">
        <f>4.9</f>
        <v>4.9000000000000004</v>
      </c>
      <c r="R167" s="43">
        <v>75</v>
      </c>
      <c r="S167" s="32">
        <f t="shared" si="13"/>
        <v>5.6338028169014086E-2</v>
      </c>
      <c r="T167" s="54" t="e">
        <f>VLOOKUP(A167,[1]인포맥스!$A:$I,9,0)</f>
        <v>#N/A</v>
      </c>
      <c r="U167" s="70" t="e">
        <f t="shared" si="14"/>
        <v>#N/A</v>
      </c>
    </row>
    <row r="168" spans="1:21" x14ac:dyDescent="0.25">
      <c r="A168" s="3">
        <v>39325</v>
      </c>
      <c r="B168" s="29">
        <f>101</f>
        <v>101</v>
      </c>
      <c r="C168" s="29">
        <v>85</v>
      </c>
      <c r="D168" s="50">
        <f>52.2</f>
        <v>52.2</v>
      </c>
      <c r="E168" s="30">
        <v>52.2</v>
      </c>
      <c r="F168" s="29">
        <f>13.6</f>
        <v>13.6</v>
      </c>
      <c r="G168" s="31">
        <v>31013</v>
      </c>
      <c r="H168" s="51">
        <f t="shared" si="11"/>
        <v>0.12955273892773891</v>
      </c>
      <c r="I168" s="29">
        <f>0.9</f>
        <v>0.9</v>
      </c>
      <c r="J168" s="31">
        <v>88.3</v>
      </c>
      <c r="K168" s="51">
        <f t="shared" si="12"/>
        <v>8.5665334094802981E-3</v>
      </c>
      <c r="L168" s="29">
        <f>2</f>
        <v>2</v>
      </c>
      <c r="M168" s="30">
        <v>2</v>
      </c>
      <c r="N168" s="29">
        <f>11.4</f>
        <v>11.4</v>
      </c>
      <c r="O168" s="29">
        <v>1208052.8</v>
      </c>
      <c r="P168" s="51">
        <f t="shared" si="10"/>
        <v>0.1136666554198625</v>
      </c>
      <c r="Q168" s="29">
        <f>4.9</f>
        <v>4.9000000000000004</v>
      </c>
      <c r="R168" s="43">
        <v>74.7</v>
      </c>
      <c r="S168" s="32">
        <f t="shared" si="13"/>
        <v>5.8073654390934967E-2</v>
      </c>
      <c r="T168" s="54" t="e">
        <f>VLOOKUP(A168,[1]인포맥스!$A:$I,9,0)</f>
        <v>#N/A</v>
      </c>
      <c r="U168" s="70" t="e">
        <f t="shared" si="14"/>
        <v>#N/A</v>
      </c>
    </row>
    <row r="169" spans="1:21" x14ac:dyDescent="0.25">
      <c r="A169" s="3">
        <v>39294</v>
      </c>
      <c r="B169" s="29">
        <f>104</f>
        <v>104</v>
      </c>
      <c r="C169" s="29">
        <v>87</v>
      </c>
      <c r="D169" s="50">
        <f>51.8</f>
        <v>51.8</v>
      </c>
      <c r="E169" s="30">
        <v>51.8</v>
      </c>
      <c r="F169" s="29">
        <f>17.2</f>
        <v>17.2</v>
      </c>
      <c r="G169" s="31">
        <v>30220</v>
      </c>
      <c r="H169" s="51">
        <f t="shared" si="11"/>
        <v>0.16150357444845875</v>
      </c>
      <c r="I169" s="29">
        <f>1.6</f>
        <v>1.6</v>
      </c>
      <c r="J169" s="31">
        <v>88.35</v>
      </c>
      <c r="K169" s="51">
        <f t="shared" si="12"/>
        <v>1.5633980917346815E-2</v>
      </c>
      <c r="L169" s="29">
        <f>2.5</f>
        <v>2.5</v>
      </c>
      <c r="M169" s="30">
        <v>2.5</v>
      </c>
      <c r="N169" s="29">
        <f>10.9</f>
        <v>10.9</v>
      </c>
      <c r="O169" s="29">
        <v>1200892.7</v>
      </c>
      <c r="P169" s="51">
        <f t="shared" si="10"/>
        <v>0.10929028175811889</v>
      </c>
      <c r="Q169" s="29">
        <f>4.6</f>
        <v>4.5999999999999996</v>
      </c>
      <c r="R169" s="43">
        <v>74.3</v>
      </c>
      <c r="S169" s="32">
        <f t="shared" si="13"/>
        <v>5.0919377652050839E-2</v>
      </c>
      <c r="T169" s="54" t="e">
        <f>VLOOKUP(A169,[1]인포맥스!$A:$I,9,0)</f>
        <v>#N/A</v>
      </c>
      <c r="U169" s="70" t="e">
        <f t="shared" si="14"/>
        <v>#N/A</v>
      </c>
    </row>
    <row r="170" spans="1:21" x14ac:dyDescent="0.25">
      <c r="A170" s="3">
        <v>39263</v>
      </c>
      <c r="B170" s="29">
        <f>102</f>
        <v>102</v>
      </c>
      <c r="C170" s="29">
        <v>88</v>
      </c>
      <c r="D170" s="50">
        <f>54</f>
        <v>54</v>
      </c>
      <c r="E170" s="30">
        <v>54</v>
      </c>
      <c r="F170" s="29">
        <f>14.5</f>
        <v>14.5</v>
      </c>
      <c r="G170" s="31">
        <v>31997</v>
      </c>
      <c r="H170" s="51">
        <f t="shared" si="11"/>
        <v>0.13823770054427093</v>
      </c>
      <c r="I170" s="29">
        <f>1.8</f>
        <v>1.8</v>
      </c>
      <c r="J170" s="31">
        <v>88.24</v>
      </c>
      <c r="K170" s="51">
        <f t="shared" si="12"/>
        <v>1.7527675276752721E-2</v>
      </c>
      <c r="L170" s="29">
        <f>2.5</f>
        <v>2.5</v>
      </c>
      <c r="M170" s="30">
        <v>2.5</v>
      </c>
      <c r="N170" s="29">
        <f>10.9</f>
        <v>10.9</v>
      </c>
      <c r="O170" s="29">
        <v>1190080.2</v>
      </c>
      <c r="P170" s="51">
        <f t="shared" si="10"/>
        <v>0.10923215083794972</v>
      </c>
      <c r="Q170" s="29">
        <f>4.1</f>
        <v>4.0999999999999996</v>
      </c>
      <c r="R170" s="43">
        <v>73.8</v>
      </c>
      <c r="S170" s="32">
        <f t="shared" si="13"/>
        <v>4.2372881355932208E-2</v>
      </c>
      <c r="T170" s="54" t="e">
        <f>VLOOKUP(A170,[1]인포맥스!$A:$I,9,0)</f>
        <v>#N/A</v>
      </c>
      <c r="U170" s="70" t="e">
        <f t="shared" si="14"/>
        <v>#N/A</v>
      </c>
    </row>
    <row r="171" spans="1:21" x14ac:dyDescent="0.25">
      <c r="A171" s="3">
        <v>39233</v>
      </c>
      <c r="B171" s="29">
        <f>101</f>
        <v>101</v>
      </c>
      <c r="C171" s="29">
        <v>88</v>
      </c>
      <c r="D171" s="50">
        <f>53.1</f>
        <v>53.1</v>
      </c>
      <c r="E171" s="30">
        <v>53.1</v>
      </c>
      <c r="F171" s="29">
        <f>11.1</f>
        <v>11.1</v>
      </c>
      <c r="G171" s="31">
        <v>31046</v>
      </c>
      <c r="H171" s="51">
        <f t="shared" si="11"/>
        <v>0.11587951980447128</v>
      </c>
      <c r="I171" s="29">
        <f>1.4</f>
        <v>1.4</v>
      </c>
      <c r="J171" s="31">
        <v>88.06</v>
      </c>
      <c r="K171" s="51">
        <f t="shared" si="12"/>
        <v>1.35819521178638E-2</v>
      </c>
      <c r="L171" s="29">
        <f>2.3</f>
        <v>2.2999999999999998</v>
      </c>
      <c r="M171" s="30">
        <v>2.2999999999999998</v>
      </c>
      <c r="N171" s="29">
        <f>10.9</f>
        <v>10.9</v>
      </c>
      <c r="O171" s="29">
        <v>1171148.3999999999</v>
      </c>
      <c r="P171" s="51">
        <f t="shared" si="10"/>
        <v>0.1091939293960139</v>
      </c>
      <c r="Q171" s="29">
        <f>3.6</f>
        <v>3.6</v>
      </c>
      <c r="R171" s="43">
        <v>73.3</v>
      </c>
      <c r="S171" s="32">
        <f t="shared" si="13"/>
        <v>3.5310734463276837E-2</v>
      </c>
      <c r="T171" s="54" t="e">
        <f>VLOOKUP(A171,[1]인포맥스!$A:$I,9,0)</f>
        <v>#N/A</v>
      </c>
      <c r="U171" s="70" t="e">
        <f t="shared" si="14"/>
        <v>#N/A</v>
      </c>
    </row>
    <row r="172" spans="1:21" x14ac:dyDescent="0.25">
      <c r="A172" s="3">
        <v>39202</v>
      </c>
      <c r="B172" s="29">
        <f>102</f>
        <v>102</v>
      </c>
      <c r="C172" s="29">
        <v>87</v>
      </c>
      <c r="D172" s="50">
        <f>52.7</f>
        <v>52.7</v>
      </c>
      <c r="E172" s="30">
        <v>52.7</v>
      </c>
      <c r="F172" s="29">
        <f>17</f>
        <v>17</v>
      </c>
      <c r="G172" s="31">
        <v>29948</v>
      </c>
      <c r="H172" s="51">
        <f t="shared" si="11"/>
        <v>0.17194959693198716</v>
      </c>
      <c r="I172" s="29">
        <f>1.1</f>
        <v>1.1000000000000001</v>
      </c>
      <c r="J172" s="31">
        <v>87.57</v>
      </c>
      <c r="K172" s="51">
        <f t="shared" si="12"/>
        <v>1.1434511434511376E-2</v>
      </c>
      <c r="L172" s="29">
        <f>2.4</f>
        <v>2.4</v>
      </c>
      <c r="M172" s="30">
        <v>2.4</v>
      </c>
      <c r="N172" s="29">
        <f>11.1</f>
        <v>11.1</v>
      </c>
      <c r="O172" s="29">
        <v>1165291</v>
      </c>
      <c r="P172" s="51">
        <f t="shared" si="10"/>
        <v>0.11128414628819827</v>
      </c>
      <c r="Q172" s="29">
        <f>3.4</f>
        <v>3.4</v>
      </c>
      <c r="R172" s="43">
        <v>73</v>
      </c>
      <c r="S172" s="32">
        <f t="shared" si="13"/>
        <v>3.3994334277620483E-2</v>
      </c>
      <c r="T172" s="54" t="e">
        <f>VLOOKUP(A172,[1]인포맥스!$A:$I,9,0)</f>
        <v>#N/A</v>
      </c>
      <c r="U172" s="70" t="e">
        <f t="shared" si="14"/>
        <v>#N/A</v>
      </c>
    </row>
    <row r="173" spans="1:21" x14ac:dyDescent="0.25">
      <c r="A173" s="3">
        <v>39172</v>
      </c>
      <c r="B173" s="29">
        <f>100</f>
        <v>100</v>
      </c>
      <c r="C173" s="29">
        <v>85</v>
      </c>
      <c r="D173" s="50">
        <f>52.8</f>
        <v>52.8</v>
      </c>
      <c r="E173" s="30">
        <v>52.8</v>
      </c>
      <c r="F173" s="29">
        <f>13.2</f>
        <v>13.2</v>
      </c>
      <c r="G173" s="31">
        <v>30389</v>
      </c>
      <c r="H173" s="51">
        <f t="shared" si="11"/>
        <v>0.1315956060323962</v>
      </c>
      <c r="I173" s="29">
        <f>0.6</f>
        <v>0.6</v>
      </c>
      <c r="J173" s="31">
        <v>86.96</v>
      </c>
      <c r="K173" s="51">
        <f t="shared" si="12"/>
        <v>6.2485535755611209E-3</v>
      </c>
      <c r="L173" s="29">
        <f>2.2</f>
        <v>2.2000000000000002</v>
      </c>
      <c r="M173" s="30">
        <v>2.2000000000000002</v>
      </c>
      <c r="N173" s="29">
        <f>11.5</f>
        <v>11.5</v>
      </c>
      <c r="O173" s="29">
        <v>1162429.3</v>
      </c>
      <c r="P173" s="51">
        <f t="shared" si="10"/>
        <v>0.11526090153484592</v>
      </c>
      <c r="Q173" s="29">
        <f>3.3</f>
        <v>3.3</v>
      </c>
      <c r="R173" s="43">
        <v>72.7</v>
      </c>
      <c r="S173" s="32">
        <f t="shared" si="13"/>
        <v>2.974504249291797E-2</v>
      </c>
      <c r="T173" s="54" t="e">
        <f>VLOOKUP(A173,[1]인포맥스!$A:$I,9,0)</f>
        <v>#N/A</v>
      </c>
      <c r="U173" s="70" t="e">
        <f t="shared" si="14"/>
        <v>#N/A</v>
      </c>
    </row>
    <row r="174" spans="1:21" x14ac:dyDescent="0.25">
      <c r="A174" s="3">
        <v>39141</v>
      </c>
      <c r="B174" s="29">
        <f>97</f>
        <v>97</v>
      </c>
      <c r="C174" s="29">
        <v>81</v>
      </c>
      <c r="D174" s="50">
        <f>54.1</f>
        <v>54.1</v>
      </c>
      <c r="E174" s="30">
        <v>54.1</v>
      </c>
      <c r="F174" s="29">
        <f>10.3</f>
        <v>10.3</v>
      </c>
      <c r="G174" s="31">
        <v>26227</v>
      </c>
      <c r="H174" s="51">
        <f t="shared" si="11"/>
        <v>0.10266974984233761</v>
      </c>
      <c r="I174" s="29">
        <f>0.1</f>
        <v>0.1</v>
      </c>
      <c r="J174" s="31">
        <v>86.59</v>
      </c>
      <c r="K174" s="51">
        <f t="shared" si="12"/>
        <v>6.9340113255520939E-4</v>
      </c>
      <c r="L174" s="29">
        <f>2.2</f>
        <v>2.2000000000000002</v>
      </c>
      <c r="M174" s="30">
        <v>2.2000000000000002</v>
      </c>
      <c r="N174" s="29">
        <f>11.5</f>
        <v>11.5</v>
      </c>
      <c r="O174" s="29">
        <v>1154108.8</v>
      </c>
      <c r="P174" s="51">
        <f t="shared" si="10"/>
        <v>0.11539144374390593</v>
      </c>
      <c r="Q174" s="29">
        <f>3.3</f>
        <v>3.3</v>
      </c>
      <c r="R174" s="43">
        <v>72.5</v>
      </c>
      <c r="S174" s="32">
        <f t="shared" si="13"/>
        <v>2.8368794326241134E-2</v>
      </c>
      <c r="T174" s="54" t="e">
        <f>VLOOKUP(A174,[1]인포맥스!$A:$I,9,0)</f>
        <v>#N/A</v>
      </c>
      <c r="U174" s="70" t="e">
        <f t="shared" si="14"/>
        <v>#N/A</v>
      </c>
    </row>
    <row r="175" spans="1:21" x14ac:dyDescent="0.25">
      <c r="A175" s="3">
        <v>39113</v>
      </c>
      <c r="B175" s="29">
        <f>93</f>
        <v>93</v>
      </c>
      <c r="C175" s="29">
        <v>79</v>
      </c>
      <c r="D175" s="50">
        <f>50.4</f>
        <v>50.4</v>
      </c>
      <c r="E175" s="30">
        <v>50.4</v>
      </c>
      <c r="F175" s="29">
        <f>20.8</f>
        <v>20.8</v>
      </c>
      <c r="G175" s="31">
        <v>28097</v>
      </c>
      <c r="H175" s="51">
        <f t="shared" si="11"/>
        <v>0.20852509785367113</v>
      </c>
      <c r="I175" s="29">
        <f>0.1</f>
        <v>0.1</v>
      </c>
      <c r="J175" s="31">
        <v>86.54</v>
      </c>
      <c r="K175" s="51">
        <f t="shared" si="12"/>
        <v>5.7810151462609979E-4</v>
      </c>
      <c r="L175" s="29">
        <f>1.7</f>
        <v>1.7</v>
      </c>
      <c r="M175" s="30">
        <v>1.7</v>
      </c>
      <c r="N175" s="29">
        <f>11.3</f>
        <v>11.3</v>
      </c>
      <c r="O175" s="29">
        <v>1143814.8999999999</v>
      </c>
      <c r="P175" s="51">
        <f t="shared" si="10"/>
        <v>0.1129880254635264</v>
      </c>
      <c r="Q175" s="29">
        <f>3.2</f>
        <v>3.2</v>
      </c>
      <c r="R175" s="43">
        <v>72.2</v>
      </c>
      <c r="S175" s="32">
        <f t="shared" si="13"/>
        <v>2.5568181818181775E-2</v>
      </c>
      <c r="T175" s="54" t="e">
        <f>VLOOKUP(A175,[1]인포맥스!$A:$I,9,0)</f>
        <v>#N/A</v>
      </c>
      <c r="U175" s="70" t="e">
        <f t="shared" si="14"/>
        <v>#N/A</v>
      </c>
    </row>
    <row r="176" spans="1:21" x14ac:dyDescent="0.25">
      <c r="A176" s="3">
        <v>39082</v>
      </c>
      <c r="B176" s="29">
        <f>100</f>
        <v>100</v>
      </c>
      <c r="C176" s="29">
        <v>84</v>
      </c>
      <c r="D176" s="50">
        <f>51.4</f>
        <v>51.4</v>
      </c>
      <c r="E176" s="30">
        <v>51.4</v>
      </c>
      <c r="F176" s="29">
        <f>12.3</f>
        <v>12.3</v>
      </c>
      <c r="G176" s="31">
        <v>28775</v>
      </c>
      <c r="H176" s="51" t="e">
        <f t="shared" si="11"/>
        <v>#N/A</v>
      </c>
      <c r="I176" s="29">
        <f>0.4</f>
        <v>0.4</v>
      </c>
      <c r="J176" s="31">
        <v>86.53</v>
      </c>
      <c r="K176" s="51">
        <f t="shared" si="12"/>
        <v>3.9447731755424464E-3</v>
      </c>
      <c r="L176" s="29">
        <f>2.1</f>
        <v>2.1</v>
      </c>
      <c r="M176" s="30">
        <v>2.1</v>
      </c>
      <c r="N176" s="29">
        <f>11.4</f>
        <v>11.4</v>
      </c>
      <c r="O176" s="29">
        <v>1138295.5</v>
      </c>
      <c r="P176" s="51">
        <f t="shared" si="10"/>
        <v>0.11423733319655333</v>
      </c>
      <c r="Q176" s="29">
        <f>3.1</f>
        <v>3.1</v>
      </c>
      <c r="R176" s="43">
        <v>71.900000000000006</v>
      </c>
      <c r="S176" s="32">
        <f t="shared" si="13"/>
        <v>2.8612303290414875E-2</v>
      </c>
      <c r="T176" s="54" t="e">
        <f>VLOOKUP(A176,[1]인포맥스!$A:$I,9,0)</f>
        <v>#N/A</v>
      </c>
      <c r="U176" s="70" t="e">
        <f t="shared" si="14"/>
        <v>#N/A</v>
      </c>
    </row>
    <row r="177" spans="1:21" x14ac:dyDescent="0.25">
      <c r="A177" s="3">
        <v>39051</v>
      </c>
      <c r="B177" s="29">
        <f>97</f>
        <v>97</v>
      </c>
      <c r="C177" s="29">
        <v>83</v>
      </c>
      <c r="D177" s="50">
        <f>50.3</f>
        <v>50.3</v>
      </c>
      <c r="E177" s="30">
        <v>50.3</v>
      </c>
      <c r="F177" s="29">
        <f>18.5</f>
        <v>18.5</v>
      </c>
      <c r="G177" s="31">
        <v>30661</v>
      </c>
      <c r="H177" s="51" t="e">
        <f t="shared" si="11"/>
        <v>#N/A</v>
      </c>
      <c r="I177" s="29">
        <f>0.2</f>
        <v>0.2</v>
      </c>
      <c r="J177" s="31">
        <v>86.61</v>
      </c>
      <c r="K177" s="51">
        <f t="shared" si="12"/>
        <v>1.9666820916242676E-3</v>
      </c>
      <c r="L177" s="29">
        <f>2.1</f>
        <v>2.1</v>
      </c>
      <c r="M177" s="30">
        <v>2.1</v>
      </c>
      <c r="N177" s="29">
        <f>11.1</f>
        <v>11.1</v>
      </c>
      <c r="O177" s="29">
        <v>1123714.6000000001</v>
      </c>
      <c r="P177" s="51">
        <f t="shared" si="10"/>
        <v>0.11084798108943554</v>
      </c>
      <c r="Q177" s="29">
        <f>3.2</f>
        <v>3.2</v>
      </c>
      <c r="R177" s="43">
        <v>71.8</v>
      </c>
      <c r="S177" s="32">
        <f t="shared" si="13"/>
        <v>3.3093525179856073E-2</v>
      </c>
      <c r="T177" s="54" t="e">
        <f>VLOOKUP(A177,[1]인포맥스!$A:$I,9,0)</f>
        <v>#N/A</v>
      </c>
      <c r="U177" s="70" t="e">
        <f t="shared" si="14"/>
        <v>#N/A</v>
      </c>
    </row>
    <row r="178" spans="1:21" x14ac:dyDescent="0.25">
      <c r="A178" s="3">
        <v>39021</v>
      </c>
      <c r="B178" s="29">
        <f>101</f>
        <v>101</v>
      </c>
      <c r="C178" s="29">
        <v>84</v>
      </c>
      <c r="D178" s="50">
        <f>51.4</f>
        <v>51.4</v>
      </c>
      <c r="E178" s="30">
        <v>51.4</v>
      </c>
      <c r="F178" s="29">
        <f>10.5</f>
        <v>10.5</v>
      </c>
      <c r="G178" s="31">
        <v>28093</v>
      </c>
      <c r="H178" s="51" t="e">
        <f t="shared" si="11"/>
        <v>#N/A</v>
      </c>
      <c r="I178" s="29">
        <f>0.4</f>
        <v>0.4</v>
      </c>
      <c r="J178" s="31">
        <v>87.03</v>
      </c>
      <c r="K178" s="51">
        <f t="shared" si="12"/>
        <v>3.9220209943477153E-3</v>
      </c>
      <c r="L178" s="29">
        <f>2.2</f>
        <v>2.2000000000000002</v>
      </c>
      <c r="M178" s="30">
        <v>2.2000000000000002</v>
      </c>
      <c r="N178" s="29">
        <f>10.1</f>
        <v>10.1</v>
      </c>
      <c r="O178" s="29">
        <v>1110360.8999999999</v>
      </c>
      <c r="P178" s="51">
        <f t="shared" si="10"/>
        <v>0.10131339023652883</v>
      </c>
      <c r="Q178" s="29">
        <f>3.1</f>
        <v>3.1</v>
      </c>
      <c r="R178" s="43">
        <v>71.5</v>
      </c>
      <c r="S178" s="32">
        <f t="shared" si="13"/>
        <v>3.6231884057971016E-2</v>
      </c>
      <c r="T178" s="54" t="e">
        <f>VLOOKUP(A178,[1]인포맥스!$A:$I,9,0)</f>
        <v>#N/A</v>
      </c>
      <c r="U178" s="70" t="e">
        <f t="shared" si="14"/>
        <v>#N/A</v>
      </c>
    </row>
    <row r="179" spans="1:21" x14ac:dyDescent="0.25">
      <c r="A179" s="3">
        <v>38990</v>
      </c>
      <c r="B179" s="29">
        <f>97</f>
        <v>97</v>
      </c>
      <c r="C179" s="29">
        <v>81</v>
      </c>
      <c r="D179" s="50">
        <f>52.2</f>
        <v>52.2</v>
      </c>
      <c r="E179" s="30">
        <v>52.2</v>
      </c>
      <c r="F179" s="29">
        <f>20.9</f>
        <v>20.9</v>
      </c>
      <c r="G179" s="31">
        <v>29744</v>
      </c>
      <c r="H179" s="51" t="e">
        <f t="shared" si="11"/>
        <v>#N/A</v>
      </c>
      <c r="I179" s="29">
        <f>1.6</f>
        <v>1.6</v>
      </c>
      <c r="J179" s="31">
        <v>87.84</v>
      </c>
      <c r="K179" s="51">
        <f t="shared" si="12"/>
        <v>1.5961138098542792E-2</v>
      </c>
      <c r="L179" s="29">
        <f>2.5</f>
        <v>2.5</v>
      </c>
      <c r="M179" s="30">
        <v>2.5</v>
      </c>
      <c r="N179" s="29">
        <f>8.9</f>
        <v>8.9</v>
      </c>
      <c r="O179" s="29">
        <v>1098444.2</v>
      </c>
      <c r="P179" s="51">
        <f t="shared" si="10"/>
        <v>8.9484713509979316E-2</v>
      </c>
      <c r="Q179" s="29">
        <f>2.9</f>
        <v>2.9</v>
      </c>
      <c r="R179" s="43">
        <v>71</v>
      </c>
      <c r="S179" s="32">
        <f t="shared" si="13"/>
        <v>3.6496350364963501E-2</v>
      </c>
      <c r="T179" s="54" t="e">
        <f>VLOOKUP(A179,[1]인포맥스!$A:$I,9,0)</f>
        <v>#N/A</v>
      </c>
      <c r="U179" s="70" t="e">
        <f t="shared" si="14"/>
        <v>#N/A</v>
      </c>
    </row>
    <row r="180" spans="1:21" x14ac:dyDescent="0.25">
      <c r="A180" s="3">
        <v>38960</v>
      </c>
      <c r="B180" s="29">
        <f>92</f>
        <v>92</v>
      </c>
      <c r="C180" s="29">
        <v>72</v>
      </c>
      <c r="D180" s="50">
        <f>53.7</f>
        <v>53.7</v>
      </c>
      <c r="E180" s="30">
        <v>53.7</v>
      </c>
      <c r="F180" s="29">
        <f>16.9</f>
        <v>16.899999999999999</v>
      </c>
      <c r="G180" s="31">
        <v>27456</v>
      </c>
      <c r="H180" s="51" t="e">
        <f t="shared" si="11"/>
        <v>#N/A</v>
      </c>
      <c r="I180" s="29">
        <f>1.7</f>
        <v>1.7</v>
      </c>
      <c r="J180" s="31">
        <v>87.55</v>
      </c>
      <c r="K180" s="51">
        <f t="shared" si="12"/>
        <v>1.7077137546468387E-2</v>
      </c>
      <c r="L180" s="29">
        <f>2.7</f>
        <v>2.7</v>
      </c>
      <c r="M180" s="30">
        <v>2.7</v>
      </c>
      <c r="N180" s="29">
        <f>7.5</f>
        <v>7.5</v>
      </c>
      <c r="O180" s="29">
        <v>1084752.6000000001</v>
      </c>
      <c r="P180" s="51">
        <f t="shared" si="10"/>
        <v>7.5287915765432756E-2</v>
      </c>
      <c r="Q180" s="29">
        <f>2.7</f>
        <v>2.7</v>
      </c>
      <c r="R180" s="43">
        <v>70.599999999999994</v>
      </c>
      <c r="S180" s="32">
        <f t="shared" si="13"/>
        <v>3.5190615835776998E-2</v>
      </c>
      <c r="T180" s="54" t="e">
        <f>VLOOKUP(A180,[1]인포맥스!$A:$I,9,0)</f>
        <v>#N/A</v>
      </c>
      <c r="U180" s="70" t="e">
        <f t="shared" si="14"/>
        <v>#N/A</v>
      </c>
    </row>
    <row r="181" spans="1:21" x14ac:dyDescent="0.25">
      <c r="A181" s="3">
        <v>38929</v>
      </c>
      <c r="B181" s="29">
        <f>95</f>
        <v>95</v>
      </c>
      <c r="C181" s="29">
        <v>77</v>
      </c>
      <c r="D181" s="50">
        <f>53</f>
        <v>53</v>
      </c>
      <c r="E181" s="30">
        <v>53</v>
      </c>
      <c r="F181" s="29">
        <f>10.9</f>
        <v>10.9</v>
      </c>
      <c r="G181" s="31">
        <v>26018</v>
      </c>
      <c r="H181" s="51" t="e">
        <f t="shared" si="11"/>
        <v>#N/A</v>
      </c>
      <c r="I181" s="29">
        <f>1.3</f>
        <v>1.3</v>
      </c>
      <c r="J181" s="31">
        <v>86.99</v>
      </c>
      <c r="K181" s="51">
        <f t="shared" si="12"/>
        <v>1.3397017707362435E-2</v>
      </c>
      <c r="L181" s="29">
        <f>2.4</f>
        <v>2.4</v>
      </c>
      <c r="M181" s="30">
        <v>2.4</v>
      </c>
      <c r="N181" s="29">
        <f>7.7</f>
        <v>7.7</v>
      </c>
      <c r="O181" s="29">
        <v>1082577.5</v>
      </c>
      <c r="P181" s="51">
        <f t="shared" si="10"/>
        <v>7.723420290674203E-2</v>
      </c>
      <c r="Q181" s="29">
        <f>3.3</f>
        <v>3.3</v>
      </c>
      <c r="R181" s="43">
        <v>70.7</v>
      </c>
      <c r="S181" s="32">
        <f t="shared" si="13"/>
        <v>4.8961424332344169E-2</v>
      </c>
      <c r="T181" s="54" t="e">
        <f>VLOOKUP(A181,[1]인포맥스!$A:$I,9,0)</f>
        <v>#N/A</v>
      </c>
      <c r="U181" s="70" t="e">
        <f t="shared" si="14"/>
        <v>#N/A</v>
      </c>
    </row>
    <row r="182" spans="1:21" x14ac:dyDescent="0.25">
      <c r="A182" s="3">
        <v>38898</v>
      </c>
      <c r="B182" s="29">
        <f>99</f>
        <v>99</v>
      </c>
      <c r="C182" s="29">
        <v>82</v>
      </c>
      <c r="D182" s="50">
        <f>52</f>
        <v>52</v>
      </c>
      <c r="E182" s="30">
        <v>52</v>
      </c>
      <c r="F182" s="29">
        <f>17.9</f>
        <v>17.899999999999999</v>
      </c>
      <c r="G182" s="31">
        <v>28111</v>
      </c>
      <c r="H182" s="51" t="e">
        <f t="shared" si="11"/>
        <v>#N/A</v>
      </c>
      <c r="I182" s="29">
        <f>1.6</f>
        <v>1.6</v>
      </c>
      <c r="J182" s="31">
        <v>86.72</v>
      </c>
      <c r="K182" s="51">
        <f t="shared" si="12"/>
        <v>1.6408813877168374E-2</v>
      </c>
      <c r="L182" s="29">
        <f>2.4</f>
        <v>2.4</v>
      </c>
      <c r="M182" s="30">
        <v>2.4</v>
      </c>
      <c r="N182" s="29">
        <f>7.7</f>
        <v>7.7</v>
      </c>
      <c r="O182" s="29">
        <v>1072886.5</v>
      </c>
      <c r="P182" s="51">
        <f t="shared" si="10"/>
        <v>7.7298792665118479E-2</v>
      </c>
      <c r="Q182" s="29">
        <f>4</f>
        <v>4</v>
      </c>
      <c r="R182" s="43">
        <v>70.8</v>
      </c>
      <c r="S182" s="32">
        <f t="shared" si="13"/>
        <v>5.6716417910447715E-2</v>
      </c>
      <c r="T182" s="54" t="e">
        <f>VLOOKUP(A182,[1]인포맥스!$A:$I,9,0)</f>
        <v>#N/A</v>
      </c>
      <c r="U182" s="70" t="e">
        <f t="shared" si="14"/>
        <v>#N/A</v>
      </c>
    </row>
    <row r="183" spans="1:21" x14ac:dyDescent="0.25">
      <c r="A183" s="3">
        <v>38868</v>
      </c>
      <c r="B183" s="29">
        <f>98</f>
        <v>98</v>
      </c>
      <c r="C183" s="29">
        <v>83</v>
      </c>
      <c r="D183" s="50">
        <f>53.7</f>
        <v>53.7</v>
      </c>
      <c r="E183" s="30">
        <v>53.7</v>
      </c>
      <c r="F183" s="29">
        <f>20.8</f>
        <v>20.8</v>
      </c>
      <c r="G183" s="31">
        <v>27822</v>
      </c>
      <c r="H183" s="51" t="e">
        <f t="shared" si="11"/>
        <v>#N/A</v>
      </c>
      <c r="I183" s="29">
        <f>1.4</f>
        <v>1.4</v>
      </c>
      <c r="J183" s="31">
        <v>86.88</v>
      </c>
      <c r="K183" s="51">
        <f t="shared" si="12"/>
        <v>1.3650682534126728E-2</v>
      </c>
      <c r="L183" s="29">
        <f>2.3</f>
        <v>2.2999999999999998</v>
      </c>
      <c r="M183" s="30">
        <v>2.2999999999999998</v>
      </c>
      <c r="N183" s="29">
        <f>7.1</f>
        <v>7.1</v>
      </c>
      <c r="O183" s="29">
        <v>1055855.3999999999</v>
      </c>
      <c r="P183" s="51">
        <f t="shared" si="10"/>
        <v>7.1418395038978066E-2</v>
      </c>
      <c r="Q183" s="29">
        <f>4.5</f>
        <v>4.5</v>
      </c>
      <c r="R183" s="43">
        <v>70.8</v>
      </c>
      <c r="S183" s="32">
        <f t="shared" si="13"/>
        <v>5.6716417910447715E-2</v>
      </c>
      <c r="T183" s="54" t="e">
        <f>VLOOKUP(A183,[1]인포맥스!$A:$I,9,0)</f>
        <v>#N/A</v>
      </c>
      <c r="U183" s="70" t="e">
        <f t="shared" si="14"/>
        <v>#N/A</v>
      </c>
    </row>
    <row r="184" spans="1:21" x14ac:dyDescent="0.25">
      <c r="A184" s="3">
        <v>38837</v>
      </c>
      <c r="B184" s="29">
        <f>103</f>
        <v>103</v>
      </c>
      <c r="C184" s="29">
        <v>87</v>
      </c>
      <c r="D184" s="50">
        <f>55.2</f>
        <v>55.2</v>
      </c>
      <c r="E184" s="30">
        <v>55.2</v>
      </c>
      <c r="F184" s="29">
        <f>11.9</f>
        <v>11.9</v>
      </c>
      <c r="G184" s="31">
        <v>25554</v>
      </c>
      <c r="H184" s="51" t="e">
        <f t="shared" si="11"/>
        <v>#N/A</v>
      </c>
      <c r="I184" s="29">
        <f>0.4</f>
        <v>0.4</v>
      </c>
      <c r="J184" s="31">
        <v>86.58</v>
      </c>
      <c r="K184" s="51">
        <f t="shared" si="12"/>
        <v>3.5933696534137275E-3</v>
      </c>
      <c r="L184" s="29">
        <f>2</f>
        <v>2</v>
      </c>
      <c r="M184" s="30">
        <v>2</v>
      </c>
      <c r="N184" s="29">
        <f>6.8</f>
        <v>6.8</v>
      </c>
      <c r="O184" s="29">
        <v>1048598.6000000001</v>
      </c>
      <c r="P184" s="51">
        <f t="shared" si="10"/>
        <v>6.7706597582312483E-2</v>
      </c>
      <c r="Q184" s="29">
        <f>4.6</f>
        <v>4.5999999999999996</v>
      </c>
      <c r="R184" s="43">
        <v>70.599999999999994</v>
      </c>
      <c r="S184" s="32">
        <f t="shared" si="13"/>
        <v>5.3731343283582006E-2</v>
      </c>
      <c r="T184" s="54" t="e">
        <f>VLOOKUP(A184,[1]인포맥스!$A:$I,9,0)</f>
        <v>#N/A</v>
      </c>
      <c r="U184" s="70" t="e">
        <f t="shared" si="14"/>
        <v>#N/A</v>
      </c>
    </row>
    <row r="185" spans="1:21" x14ac:dyDescent="0.25">
      <c r="A185" s="3">
        <v>38807</v>
      </c>
      <c r="B185" s="29">
        <f>100</f>
        <v>100</v>
      </c>
      <c r="C185" s="29">
        <v>85</v>
      </c>
      <c r="D185" s="50">
        <f>54.3</f>
        <v>54.3</v>
      </c>
      <c r="E185" s="30">
        <v>54.3</v>
      </c>
      <c r="F185" s="29">
        <f>12.1</f>
        <v>12.1</v>
      </c>
      <c r="G185" s="31">
        <v>26855</v>
      </c>
      <c r="H185" s="51" t="e">
        <f t="shared" si="11"/>
        <v>#N/A</v>
      </c>
      <c r="I185" s="29">
        <f>0.5</f>
        <v>0.5</v>
      </c>
      <c r="J185" s="31">
        <v>86.42</v>
      </c>
      <c r="K185" s="51">
        <f t="shared" si="12"/>
        <v>4.5333023363942878E-3</v>
      </c>
      <c r="L185" s="29">
        <f>2</f>
        <v>2</v>
      </c>
      <c r="M185" s="30">
        <v>2</v>
      </c>
      <c r="N185" s="29">
        <f>7.2</f>
        <v>7.2</v>
      </c>
      <c r="O185" s="29">
        <v>1042293.6</v>
      </c>
      <c r="P185" s="51">
        <f t="shared" si="10"/>
        <v>6.6366831214671185E-2</v>
      </c>
      <c r="Q185" s="29">
        <f>5</f>
        <v>5</v>
      </c>
      <c r="R185" s="43">
        <v>70.599999999999994</v>
      </c>
      <c r="S185" s="32">
        <f t="shared" si="13"/>
        <v>5.8470764617691025E-2</v>
      </c>
      <c r="T185" s="54" t="e">
        <f>VLOOKUP(A185,[1]인포맥스!$A:$I,9,0)</f>
        <v>#N/A</v>
      </c>
      <c r="U185" s="70" t="e">
        <f t="shared" si="14"/>
        <v>#N/A</v>
      </c>
    </row>
    <row r="186" spans="1:21" x14ac:dyDescent="0.25">
      <c r="A186" s="3">
        <v>38776</v>
      </c>
      <c r="B186" s="29">
        <f>98</f>
        <v>98</v>
      </c>
      <c r="C186" s="29">
        <v>82</v>
      </c>
      <c r="D186" s="50">
        <f>55.8</f>
        <v>55.8</v>
      </c>
      <c r="E186" s="30">
        <v>55.8</v>
      </c>
      <c r="F186" s="29">
        <f>16.6</f>
        <v>16.600000000000001</v>
      </c>
      <c r="G186" s="31">
        <v>23785</v>
      </c>
      <c r="H186" s="51" t="e">
        <f t="shared" si="11"/>
        <v>#N/A</v>
      </c>
      <c r="I186" s="29">
        <f>0.7</f>
        <v>0.7</v>
      </c>
      <c r="J186" s="31">
        <v>86.53</v>
      </c>
      <c r="K186" s="51">
        <f t="shared" si="12"/>
        <v>6.7481093659103927E-3</v>
      </c>
      <c r="L186" s="29">
        <f>2</f>
        <v>2</v>
      </c>
      <c r="M186" s="30">
        <v>2</v>
      </c>
      <c r="N186" s="29">
        <f>7.2</f>
        <v>7.2</v>
      </c>
      <c r="O186" s="29">
        <v>1034711.9</v>
      </c>
      <c r="P186" s="51">
        <f t="shared" si="10"/>
        <v>7.2071556819190849E-2</v>
      </c>
      <c r="Q186" s="29">
        <f>5.2</f>
        <v>5.2</v>
      </c>
      <c r="R186" s="43">
        <v>70.5</v>
      </c>
      <c r="S186" s="32">
        <f t="shared" si="13"/>
        <v>6.4954682779456152E-2</v>
      </c>
      <c r="T186" s="54" t="e">
        <f>VLOOKUP(A186,[1]인포맥스!$A:$I,9,0)</f>
        <v>#N/A</v>
      </c>
      <c r="U186" s="70" t="e">
        <f t="shared" si="14"/>
        <v>#N/A</v>
      </c>
    </row>
    <row r="187" spans="1:21" x14ac:dyDescent="0.25">
      <c r="A187" s="3">
        <v>38748</v>
      </c>
      <c r="B187" s="29">
        <f>101</f>
        <v>101</v>
      </c>
      <c r="C187" s="29">
        <v>87</v>
      </c>
      <c r="D187" s="50">
        <f>55</f>
        <v>55</v>
      </c>
      <c r="E187" s="30">
        <v>55</v>
      </c>
      <c r="F187" s="29">
        <f>3.6</f>
        <v>3.6</v>
      </c>
      <c r="G187" s="31">
        <v>23249</v>
      </c>
      <c r="H187" s="51" t="e">
        <f t="shared" si="11"/>
        <v>#N/A</v>
      </c>
      <c r="I187" s="29">
        <f>0.8</f>
        <v>0.8</v>
      </c>
      <c r="J187" s="31">
        <v>86.49</v>
      </c>
      <c r="K187" s="51">
        <f t="shared" si="12"/>
        <v>8.2769876428071074E-3</v>
      </c>
      <c r="L187" s="29">
        <f>2.2</f>
        <v>2.2000000000000002</v>
      </c>
      <c r="M187" s="30">
        <v>2.2000000000000002</v>
      </c>
      <c r="N187" s="29">
        <f>7.3</f>
        <v>7.3</v>
      </c>
      <c r="O187" s="29">
        <v>1027697.4</v>
      </c>
      <c r="P187" s="51">
        <f t="shared" si="10"/>
        <v>7.2656510447598632E-2</v>
      </c>
      <c r="Q187" s="29">
        <f>5.3</f>
        <v>5.3</v>
      </c>
      <c r="R187" s="43">
        <v>70.400000000000006</v>
      </c>
      <c r="S187" s="32">
        <f t="shared" si="13"/>
        <v>6.9908814589665788E-2</v>
      </c>
      <c r="T187" s="54" t="e">
        <f>VLOOKUP(A187,[1]인포맥스!$A:$I,9,0)</f>
        <v>#N/A</v>
      </c>
      <c r="U187" s="70" t="e">
        <f t="shared" si="14"/>
        <v>#N/A</v>
      </c>
    </row>
    <row r="188" spans="1:21" x14ac:dyDescent="0.25">
      <c r="A188" s="3">
        <v>38717</v>
      </c>
      <c r="B188" s="29">
        <f>102</f>
        <v>102</v>
      </c>
      <c r="C188" s="29">
        <v>87</v>
      </c>
      <c r="D188" s="50">
        <f>55.1</f>
        <v>55.1</v>
      </c>
      <c r="E188" s="30">
        <v>55.1</v>
      </c>
      <c r="F188" s="29">
        <f>10.5</f>
        <v>10.5</v>
      </c>
      <c r="G188" s="31" t="e">
        <v>#N/A</v>
      </c>
      <c r="H188" s="51" t="e">
        <f t="shared" si="11"/>
        <v>#N/A</v>
      </c>
      <c r="I188" s="29">
        <f>1.4</f>
        <v>1.4</v>
      </c>
      <c r="J188" s="31">
        <v>86.19</v>
      </c>
      <c r="K188" s="51">
        <f t="shared" si="12"/>
        <v>1.4477401129943552E-2</v>
      </c>
      <c r="L188" s="29">
        <f>2.6</f>
        <v>2.6</v>
      </c>
      <c r="M188" s="30">
        <v>2.6</v>
      </c>
      <c r="N188" s="29">
        <f>7</f>
        <v>7</v>
      </c>
      <c r="O188" s="29">
        <v>1021591.6</v>
      </c>
      <c r="P188" s="51">
        <f t="shared" si="10"/>
        <v>7.0049878811874522E-2</v>
      </c>
      <c r="Q188" s="29">
        <f>4.8</f>
        <v>4.8</v>
      </c>
      <c r="R188" s="43">
        <v>69.900000000000006</v>
      </c>
      <c r="S188" s="32">
        <f t="shared" si="13"/>
        <v>6.3926940639269444E-2</v>
      </c>
      <c r="T188" s="54" t="e">
        <f>VLOOKUP(A188,[1]인포맥스!$A:$I,9,0)</f>
        <v>#N/A</v>
      </c>
      <c r="U188" s="70" t="e">
        <f t="shared" si="14"/>
        <v>#N/A</v>
      </c>
    </row>
    <row r="189" spans="1:21" x14ac:dyDescent="0.25">
      <c r="A189" s="3">
        <v>38686</v>
      </c>
      <c r="B189" s="29">
        <f>95</f>
        <v>95</v>
      </c>
      <c r="C189" s="29">
        <v>83</v>
      </c>
      <c r="D189" s="50">
        <f>56.7</f>
        <v>56.7</v>
      </c>
      <c r="E189" s="30">
        <v>56.7</v>
      </c>
      <c r="F189" s="29">
        <f>11.9</f>
        <v>11.9</v>
      </c>
      <c r="G189" s="31" t="e">
        <v>#N/A</v>
      </c>
      <c r="H189" s="51" t="e">
        <f t="shared" si="11"/>
        <v>#N/A</v>
      </c>
      <c r="I189" s="29">
        <f>1</f>
        <v>1</v>
      </c>
      <c r="J189" s="31">
        <v>86.44</v>
      </c>
      <c r="K189" s="51">
        <f t="shared" si="12"/>
        <v>9.9310667134010315E-3</v>
      </c>
      <c r="L189" s="29">
        <f>2.5</f>
        <v>2.5</v>
      </c>
      <c r="M189" s="30">
        <v>2.5</v>
      </c>
      <c r="N189" s="29">
        <f>6.6</f>
        <v>6.6</v>
      </c>
      <c r="O189" s="29">
        <v>1011582.7</v>
      </c>
      <c r="P189" s="51">
        <f t="shared" si="10"/>
        <v>6.6192886402983542E-2</v>
      </c>
      <c r="Q189" s="29">
        <f>4.4</f>
        <v>4.4000000000000004</v>
      </c>
      <c r="R189" s="43">
        <v>69.5</v>
      </c>
      <c r="S189" s="32">
        <f t="shared" si="13"/>
        <v>5.9451219512195216E-2</v>
      </c>
      <c r="T189" s="54" t="e">
        <f>VLOOKUP(A189,[1]인포맥스!$A:$I,9,0)</f>
        <v>#N/A</v>
      </c>
      <c r="U189" s="70" t="e">
        <f t="shared" si="14"/>
        <v>#N/A</v>
      </c>
    </row>
    <row r="190" spans="1:21" x14ac:dyDescent="0.25">
      <c r="A190" s="3">
        <v>38656</v>
      </c>
      <c r="B190" s="29">
        <f>94</f>
        <v>94</v>
      </c>
      <c r="C190" s="29">
        <v>82</v>
      </c>
      <c r="D190" s="50">
        <f>57.2</f>
        <v>57.2</v>
      </c>
      <c r="E190" s="30">
        <v>57.2</v>
      </c>
      <c r="F190" s="29">
        <f>11.9</f>
        <v>11.9</v>
      </c>
      <c r="G190" s="31" t="e">
        <v>#N/A</v>
      </c>
      <c r="H190" s="51" t="e">
        <f t="shared" si="11"/>
        <v>#N/A</v>
      </c>
      <c r="I190" s="29">
        <f>1.4</f>
        <v>1.4</v>
      </c>
      <c r="J190" s="31">
        <v>86.69</v>
      </c>
      <c r="K190" s="51">
        <f t="shared" si="12"/>
        <v>1.3562492692622432E-2</v>
      </c>
      <c r="L190" s="29">
        <f>2.3</f>
        <v>2.2999999999999998</v>
      </c>
      <c r="M190" s="30">
        <v>2.2999999999999998</v>
      </c>
      <c r="N190" s="29">
        <f>6.5</f>
        <v>6.5</v>
      </c>
      <c r="O190" s="29">
        <v>1008215.2</v>
      </c>
      <c r="P190" s="51">
        <f t="shared" si="10"/>
        <v>6.4829411239114468E-2</v>
      </c>
      <c r="Q190" s="29">
        <f>4</f>
        <v>4</v>
      </c>
      <c r="R190" s="43">
        <v>69</v>
      </c>
      <c r="S190" s="32">
        <f t="shared" si="13"/>
        <v>5.3435114503816793E-2</v>
      </c>
      <c r="T190" s="54" t="e">
        <f>VLOOKUP(A190,[1]인포맥스!$A:$I,9,0)</f>
        <v>#N/A</v>
      </c>
      <c r="U190" s="70" t="e">
        <f t="shared" si="14"/>
        <v>#N/A</v>
      </c>
    </row>
    <row r="191" spans="1:21" x14ac:dyDescent="0.25">
      <c r="A191" s="3">
        <v>38625</v>
      </c>
      <c r="B191" s="29">
        <f>91</f>
        <v>91</v>
      </c>
      <c r="C191" s="29">
        <v>79</v>
      </c>
      <c r="D191" s="50">
        <f>56.8</f>
        <v>56.8</v>
      </c>
      <c r="E191" s="30">
        <v>56.8</v>
      </c>
      <c r="F191" s="29">
        <f>17.7</f>
        <v>17.7</v>
      </c>
      <c r="G191" s="31" t="e">
        <v>#N/A</v>
      </c>
      <c r="H191" s="51" t="e">
        <f t="shared" si="11"/>
        <v>#N/A</v>
      </c>
      <c r="I191" s="29">
        <f>1.1</f>
        <v>1.1000000000000001</v>
      </c>
      <c r="J191" s="31">
        <v>86.46</v>
      </c>
      <c r="K191" s="51">
        <f t="shared" si="12"/>
        <v>1.1346356298982325E-2</v>
      </c>
      <c r="L191" s="29">
        <f>2.5</f>
        <v>2.5</v>
      </c>
      <c r="M191" s="30">
        <v>2.5</v>
      </c>
      <c r="N191" s="29">
        <f>6.5</f>
        <v>6.5</v>
      </c>
      <c r="O191" s="29">
        <v>1008223.6</v>
      </c>
      <c r="P191" s="51">
        <f t="shared" si="10"/>
        <v>6.5477119567681263E-2</v>
      </c>
      <c r="Q191" s="29">
        <f>3.9</f>
        <v>3.9</v>
      </c>
      <c r="R191" s="43">
        <v>68.5</v>
      </c>
      <c r="S191" s="32">
        <f t="shared" si="13"/>
        <v>5.0613496932515295E-2</v>
      </c>
      <c r="T191" s="54" t="e">
        <f>VLOOKUP(A191,[1]인포맥스!$A:$I,9,0)</f>
        <v>#N/A</v>
      </c>
      <c r="U191" s="70" t="e">
        <f t="shared" si="14"/>
        <v>#N/A</v>
      </c>
    </row>
    <row r="192" spans="1:21" x14ac:dyDescent="0.25">
      <c r="A192" s="3">
        <v>38595</v>
      </c>
      <c r="B192" s="29">
        <f>88</f>
        <v>88</v>
      </c>
      <c r="C192" s="29">
        <v>76</v>
      </c>
      <c r="D192" s="50">
        <f>52.4</f>
        <v>52.4</v>
      </c>
      <c r="E192" s="30">
        <v>52.4</v>
      </c>
      <c r="F192" s="29">
        <f>17.9</f>
        <v>17.899999999999999</v>
      </c>
      <c r="G192" s="31" t="e">
        <v>#N/A</v>
      </c>
      <c r="H192" s="51" t="e">
        <f t="shared" si="11"/>
        <v>#N/A</v>
      </c>
      <c r="I192" s="29">
        <f>1.1</f>
        <v>1.1000000000000001</v>
      </c>
      <c r="J192" s="31">
        <v>86.08</v>
      </c>
      <c r="K192" s="51">
        <f t="shared" si="12"/>
        <v>1.1040638947615665E-2</v>
      </c>
      <c r="L192" s="29">
        <f>2</f>
        <v>2</v>
      </c>
      <c r="M192" s="30">
        <v>2</v>
      </c>
      <c r="N192" s="29">
        <f>7.7</f>
        <v>7.7</v>
      </c>
      <c r="O192" s="29">
        <v>1008802</v>
      </c>
      <c r="P192" s="51">
        <f t="shared" si="10"/>
        <v>7.7431475953236115E-2</v>
      </c>
      <c r="Q192" s="29">
        <f>3.6</f>
        <v>3.6</v>
      </c>
      <c r="R192" s="43">
        <v>68.2</v>
      </c>
      <c r="S192" s="32">
        <f t="shared" si="13"/>
        <v>4.7619047619047755E-2</v>
      </c>
      <c r="T192" s="54" t="e">
        <f>VLOOKUP(A192,[1]인포맥스!$A:$I,9,0)</f>
        <v>#N/A</v>
      </c>
      <c r="U192" s="70" t="e">
        <f t="shared" si="14"/>
        <v>#N/A</v>
      </c>
    </row>
    <row r="193" spans="1:21" x14ac:dyDescent="0.25">
      <c r="A193" s="3">
        <v>38564</v>
      </c>
      <c r="B193" s="29">
        <f>90</f>
        <v>90</v>
      </c>
      <c r="C193" s="29">
        <v>76</v>
      </c>
      <c r="D193" s="50">
        <f>52.8</f>
        <v>52.8</v>
      </c>
      <c r="E193" s="30">
        <v>52.8</v>
      </c>
      <c r="F193" s="29">
        <f>10.6</f>
        <v>10.6</v>
      </c>
      <c r="G193" s="31" t="e">
        <v>#N/A</v>
      </c>
      <c r="H193" s="51" t="e">
        <f t="shared" si="11"/>
        <v>#N/A</v>
      </c>
      <c r="I193" s="29">
        <f>1.7</f>
        <v>1.7</v>
      </c>
      <c r="J193" s="31">
        <v>85.84</v>
      </c>
      <c r="K193" s="51">
        <f t="shared" si="12"/>
        <v>1.7061611374407554E-2</v>
      </c>
      <c r="L193" s="29">
        <f>2.6</f>
        <v>2.6</v>
      </c>
      <c r="M193" s="30">
        <v>2.6</v>
      </c>
      <c r="N193" s="29">
        <f>7.9</f>
        <v>7.9</v>
      </c>
      <c r="O193" s="29">
        <v>1004960.2</v>
      </c>
      <c r="P193" s="51">
        <f t="shared" si="10"/>
        <v>7.8767880212305588E-2</v>
      </c>
      <c r="Q193" s="29">
        <f>3.2</f>
        <v>3.2</v>
      </c>
      <c r="R193" s="43">
        <v>67.400000000000006</v>
      </c>
      <c r="S193" s="32">
        <f t="shared" si="13"/>
        <v>3.5330261136712927E-2</v>
      </c>
      <c r="T193" s="54" t="e">
        <f>VLOOKUP(A193,[1]인포맥스!$A:$I,9,0)</f>
        <v>#N/A</v>
      </c>
      <c r="U193" s="70" t="e">
        <f t="shared" si="14"/>
        <v>#N/A</v>
      </c>
    </row>
    <row r="194" spans="1:21" x14ac:dyDescent="0.25">
      <c r="A194" s="3">
        <v>38533</v>
      </c>
      <c r="B194" s="29">
        <f>89</f>
        <v>89</v>
      </c>
      <c r="C194" s="29">
        <v>78</v>
      </c>
      <c r="D194" s="50">
        <f>52.4</f>
        <v>52.4</v>
      </c>
      <c r="E194" s="30">
        <v>52.4</v>
      </c>
      <c r="F194" s="29">
        <f>9.5</f>
        <v>9.5</v>
      </c>
      <c r="G194" s="31" t="e">
        <v>#N/A</v>
      </c>
      <c r="H194" s="51" t="e">
        <f t="shared" si="11"/>
        <v>#N/A</v>
      </c>
      <c r="I194" s="29">
        <f>1.5</f>
        <v>1.5</v>
      </c>
      <c r="J194" s="31">
        <v>85.32</v>
      </c>
      <c r="K194" s="51">
        <f t="shared" si="12"/>
        <v>1.4989293361884259E-2</v>
      </c>
      <c r="L194" s="29">
        <f>2.8</f>
        <v>2.8</v>
      </c>
      <c r="M194" s="30">
        <v>2.8</v>
      </c>
      <c r="N194" s="29">
        <f>7.4</f>
        <v>7.4</v>
      </c>
      <c r="O194" s="29">
        <v>995904.3</v>
      </c>
      <c r="P194" s="51">
        <f t="shared" si="10"/>
        <v>7.4212454338887054E-2</v>
      </c>
      <c r="Q194" s="29">
        <f>2.8</f>
        <v>2.8</v>
      </c>
      <c r="R194" s="43">
        <v>67</v>
      </c>
      <c r="S194" s="32">
        <f t="shared" si="13"/>
        <v>2.9185867895545406E-2</v>
      </c>
      <c r="T194" s="54" t="e">
        <f>VLOOKUP(A194,[1]인포맥스!$A:$I,9,0)</f>
        <v>#N/A</v>
      </c>
      <c r="U194" s="70" t="e">
        <f t="shared" si="14"/>
        <v>#N/A</v>
      </c>
    </row>
    <row r="195" spans="1:21" x14ac:dyDescent="0.25">
      <c r="A195" s="3">
        <v>38503</v>
      </c>
      <c r="B195" s="29">
        <f>92</f>
        <v>92</v>
      </c>
      <c r="C195" s="29">
        <v>80</v>
      </c>
      <c r="D195" s="50">
        <f>50.8</f>
        <v>50.8</v>
      </c>
      <c r="E195" s="30">
        <v>50.8</v>
      </c>
      <c r="F195" s="29">
        <f>11</f>
        <v>11</v>
      </c>
      <c r="G195" s="31" t="e">
        <v>#N/A</v>
      </c>
      <c r="H195" s="51" t="e">
        <f t="shared" si="11"/>
        <v>#N/A</v>
      </c>
      <c r="I195" s="29">
        <f>1.9</f>
        <v>1.9</v>
      </c>
      <c r="J195" s="31">
        <v>85.71</v>
      </c>
      <c r="K195" s="51">
        <f t="shared" si="12"/>
        <v>1.8659377228428729E-2</v>
      </c>
      <c r="L195" s="29">
        <f>3.1</f>
        <v>3.1</v>
      </c>
      <c r="M195" s="30">
        <v>3.1</v>
      </c>
      <c r="N195" s="29">
        <f>7</f>
        <v>7</v>
      </c>
      <c r="O195" s="29">
        <v>985474.4</v>
      </c>
      <c r="P195" s="51">
        <f t="shared" si="10"/>
        <v>6.9712087463582192E-2</v>
      </c>
      <c r="Q195" s="29">
        <f>2.9</f>
        <v>2.9</v>
      </c>
      <c r="R195" s="43">
        <v>67</v>
      </c>
      <c r="S195" s="32">
        <f t="shared" si="13"/>
        <v>2.9185867895545406E-2</v>
      </c>
      <c r="T195" s="54" t="e">
        <f>VLOOKUP(A195,[1]인포맥스!$A:$I,9,0)</f>
        <v>#N/A</v>
      </c>
      <c r="U195" s="70" t="e">
        <f t="shared" si="14"/>
        <v>#N/A</v>
      </c>
    </row>
    <row r="196" spans="1:21" x14ac:dyDescent="0.25">
      <c r="A196" s="3">
        <v>38472</v>
      </c>
      <c r="B196" s="29">
        <f>93</f>
        <v>93</v>
      </c>
      <c r="C196" s="29">
        <v>84</v>
      </c>
      <c r="D196" s="50">
        <f>52.2</f>
        <v>52.2</v>
      </c>
      <c r="E196" s="30">
        <v>52.2</v>
      </c>
      <c r="F196" s="29">
        <f>6.5</f>
        <v>6.5</v>
      </c>
      <c r="G196" s="31" t="e">
        <v>#N/A</v>
      </c>
      <c r="H196" s="51" t="e">
        <f t="shared" si="11"/>
        <v>#N/A</v>
      </c>
      <c r="I196" s="29">
        <f>2.8</f>
        <v>2.8</v>
      </c>
      <c r="J196" s="31">
        <v>86.27</v>
      </c>
      <c r="K196" s="51">
        <f t="shared" si="12"/>
        <v>2.7757922325470554E-2</v>
      </c>
      <c r="L196" s="29">
        <f>3.1</f>
        <v>3.1</v>
      </c>
      <c r="M196" s="30">
        <v>3.1</v>
      </c>
      <c r="N196" s="29">
        <f>6.9</f>
        <v>6.9</v>
      </c>
      <c r="O196" s="29">
        <v>982103.7</v>
      </c>
      <c r="P196" s="51">
        <f t="shared" si="10"/>
        <v>6.9445646808548173E-2</v>
      </c>
      <c r="Q196" s="29">
        <f>3</f>
        <v>3</v>
      </c>
      <c r="R196" s="43">
        <v>67</v>
      </c>
      <c r="S196" s="32">
        <f t="shared" si="13"/>
        <v>2.9185867895545406E-2</v>
      </c>
      <c r="T196" s="54" t="e">
        <f>VLOOKUP(A196,[1]인포맥스!$A:$I,9,0)</f>
        <v>#N/A</v>
      </c>
      <c r="U196" s="70" t="e">
        <f t="shared" si="14"/>
        <v>#N/A</v>
      </c>
    </row>
    <row r="197" spans="1:21" x14ac:dyDescent="0.25">
      <c r="A197" s="3">
        <v>38442</v>
      </c>
      <c r="B197" s="29">
        <f>90</f>
        <v>90</v>
      </c>
      <c r="C197" s="29">
        <v>83</v>
      </c>
      <c r="D197" s="50">
        <f>55.2</f>
        <v>55.2</v>
      </c>
      <c r="E197" s="30">
        <v>55.2</v>
      </c>
      <c r="F197" s="29">
        <f>13.1</f>
        <v>13.1</v>
      </c>
      <c r="G197" s="31" t="e">
        <v>#N/A</v>
      </c>
      <c r="H197" s="51" t="e">
        <f t="shared" si="11"/>
        <v>#N/A</v>
      </c>
      <c r="I197" s="29">
        <f>3</f>
        <v>3</v>
      </c>
      <c r="J197" s="31">
        <v>86.03</v>
      </c>
      <c r="K197" s="51">
        <f t="shared" si="12"/>
        <v>2.9806080919320022E-2</v>
      </c>
      <c r="L197" s="29">
        <f>3</f>
        <v>3</v>
      </c>
      <c r="M197" s="30">
        <v>3</v>
      </c>
      <c r="N197" s="29">
        <f>6.4</f>
        <v>6.4</v>
      </c>
      <c r="O197" s="29">
        <v>977425</v>
      </c>
      <c r="P197" s="51">
        <f t="shared" ref="P197:P260" si="15">(O197-O209)/O209</f>
        <v>6.6271543201492783E-2</v>
      </c>
      <c r="Q197" s="29">
        <f>2.8</f>
        <v>2.8</v>
      </c>
      <c r="R197" s="43">
        <v>66.7</v>
      </c>
      <c r="S197" s="32">
        <f t="shared" si="13"/>
        <v>2.7734976887519216E-2</v>
      </c>
      <c r="T197" s="54" t="e">
        <f>VLOOKUP(A197,[1]인포맥스!$A:$I,9,0)</f>
        <v>#N/A</v>
      </c>
      <c r="U197" s="70" t="e">
        <f t="shared" si="14"/>
        <v>#N/A</v>
      </c>
    </row>
    <row r="198" spans="1:21" x14ac:dyDescent="0.25">
      <c r="A198" s="3">
        <v>38411</v>
      </c>
      <c r="B198" s="29">
        <f>89</f>
        <v>89</v>
      </c>
      <c r="C198" s="29">
        <v>76</v>
      </c>
      <c r="D198" s="50">
        <f>55.5</f>
        <v>55.5</v>
      </c>
      <c r="E198" s="30">
        <v>55.5</v>
      </c>
      <c r="F198" s="29">
        <f>6.6</f>
        <v>6.6</v>
      </c>
      <c r="G198" s="31" t="e">
        <v>#N/A</v>
      </c>
      <c r="H198" s="51" t="e">
        <f t="shared" ref="H198:H261" si="16">(G198-G210)/G210</f>
        <v>#N/A</v>
      </c>
      <c r="I198" s="29">
        <f>3.9</f>
        <v>3.9</v>
      </c>
      <c r="J198" s="31">
        <v>85.95</v>
      </c>
      <c r="K198" s="51">
        <f t="shared" ref="K198:K261" si="17">(J198-J210)/J210</f>
        <v>3.8796229151559197E-2</v>
      </c>
      <c r="L198" s="29">
        <f>3.4</f>
        <v>3.4</v>
      </c>
      <c r="M198" s="30">
        <v>3.4</v>
      </c>
      <c r="N198" s="29">
        <f>6.4</f>
        <v>6.4</v>
      </c>
      <c r="O198" s="29">
        <v>965151.9</v>
      </c>
      <c r="P198" s="51">
        <f t="shared" si="15"/>
        <v>6.4344789909349706E-2</v>
      </c>
      <c r="Q198" s="29">
        <f>2.3</f>
        <v>2.2999999999999998</v>
      </c>
      <c r="R198" s="43">
        <v>66.2</v>
      </c>
      <c r="S198" s="32">
        <f t="shared" ref="S198:S261" si="18">(R198-R210)/R210</f>
        <v>2.4767801857585273E-2</v>
      </c>
      <c r="T198" s="54" t="e">
        <f>VLOOKUP(A198,[1]인포맥스!$A:$I,9,0)</f>
        <v>#N/A</v>
      </c>
      <c r="U198" s="70" t="e">
        <f t="shared" ref="U198:U261" si="19">(T198-T210)/T210</f>
        <v>#N/A</v>
      </c>
    </row>
    <row r="199" spans="1:21" x14ac:dyDescent="0.25">
      <c r="A199" s="3">
        <v>38383</v>
      </c>
      <c r="B199" s="29">
        <f>83</f>
        <v>83</v>
      </c>
      <c r="C199" s="29">
        <v>71</v>
      </c>
      <c r="D199" s="50">
        <f>56.8</f>
        <v>56.8</v>
      </c>
      <c r="E199" s="30">
        <v>56.8</v>
      </c>
      <c r="F199" s="29">
        <f>18.3</f>
        <v>18.3</v>
      </c>
      <c r="G199" s="31" t="e">
        <v>#N/A</v>
      </c>
      <c r="H199" s="51" t="e">
        <f t="shared" si="16"/>
        <v>#N/A</v>
      </c>
      <c r="I199" s="29">
        <f>5</f>
        <v>5</v>
      </c>
      <c r="J199" s="31">
        <v>85.78</v>
      </c>
      <c r="K199" s="51">
        <f t="shared" si="17"/>
        <v>4.9681840430739137E-2</v>
      </c>
      <c r="L199" s="29">
        <f>3.4</f>
        <v>3.4</v>
      </c>
      <c r="M199" s="30">
        <v>3.4</v>
      </c>
      <c r="N199" s="29">
        <f>6.3</f>
        <v>6.3</v>
      </c>
      <c r="O199" s="29">
        <v>958086.2</v>
      </c>
      <c r="P199" s="51">
        <f t="shared" si="15"/>
        <v>6.3301476002679047E-2</v>
      </c>
      <c r="Q199" s="29">
        <f>2</f>
        <v>2</v>
      </c>
      <c r="R199" s="43">
        <v>65.8</v>
      </c>
      <c r="S199" s="32">
        <f t="shared" si="18"/>
        <v>2.3328149300155521E-2</v>
      </c>
      <c r="T199" s="54" t="e">
        <f>VLOOKUP(A199,[1]인포맥스!$A:$I,9,0)</f>
        <v>#N/A</v>
      </c>
      <c r="U199" s="70" t="e">
        <f t="shared" si="19"/>
        <v>#N/A</v>
      </c>
    </row>
    <row r="200" spans="1:21" x14ac:dyDescent="0.25">
      <c r="A200" s="3">
        <v>38352</v>
      </c>
      <c r="B200" s="29">
        <f>84</f>
        <v>84</v>
      </c>
      <c r="C200" s="29">
        <v>70</v>
      </c>
      <c r="D200" s="50">
        <f>57.2</f>
        <v>57.2</v>
      </c>
      <c r="E200" s="30">
        <v>57.2</v>
      </c>
      <c r="F200" s="29">
        <f>17.6</f>
        <v>17.600000000000001</v>
      </c>
      <c r="G200" s="31" t="e">
        <v>#N/A</v>
      </c>
      <c r="H200" s="51" t="e">
        <f t="shared" si="16"/>
        <v>#N/A</v>
      </c>
      <c r="I200" s="29">
        <f>5.4</f>
        <v>5.4</v>
      </c>
      <c r="J200" s="31">
        <v>84.96</v>
      </c>
      <c r="K200" s="51">
        <f t="shared" si="17"/>
        <v>5.3832795832299538E-2</v>
      </c>
      <c r="L200" s="29">
        <f>3</f>
        <v>3</v>
      </c>
      <c r="M200" s="30">
        <v>3</v>
      </c>
      <c r="N200" s="29">
        <f>5.9</f>
        <v>5.9</v>
      </c>
      <c r="O200" s="29">
        <v>954714</v>
      </c>
      <c r="P200" s="51">
        <f t="shared" si="15"/>
        <v>5.865414618860159E-2</v>
      </c>
      <c r="Q200" s="29">
        <f>2.3</f>
        <v>2.2999999999999998</v>
      </c>
      <c r="R200" s="43">
        <v>65.7</v>
      </c>
      <c r="S200" s="32">
        <f t="shared" si="18"/>
        <v>2.8169014084507109E-2</v>
      </c>
      <c r="T200" s="54" t="e">
        <f>VLOOKUP(A200,[1]인포맥스!$A:$I,9,0)</f>
        <v>#N/A</v>
      </c>
      <c r="U200" s="70" t="e">
        <f t="shared" si="19"/>
        <v>#N/A</v>
      </c>
    </row>
    <row r="201" spans="1:21" x14ac:dyDescent="0.25">
      <c r="A201" s="3">
        <v>38321</v>
      </c>
      <c r="B201" s="29">
        <f>87</f>
        <v>87</v>
      </c>
      <c r="C201" s="29">
        <v>71</v>
      </c>
      <c r="D201" s="50">
        <f>56.2</f>
        <v>56.2</v>
      </c>
      <c r="E201" s="30">
        <v>56.2</v>
      </c>
      <c r="F201" s="29">
        <f>26.5</f>
        <v>26.5</v>
      </c>
      <c r="G201" s="31" t="e">
        <v>#N/A</v>
      </c>
      <c r="H201" s="51" t="e">
        <f t="shared" si="16"/>
        <v>#N/A</v>
      </c>
      <c r="I201" s="29">
        <f>6.9</f>
        <v>6.9</v>
      </c>
      <c r="J201" s="31">
        <v>85.59</v>
      </c>
      <c r="K201" s="51">
        <f t="shared" si="17"/>
        <v>6.8539325842696744E-2</v>
      </c>
      <c r="L201" s="29">
        <f>3.3</f>
        <v>3.3</v>
      </c>
      <c r="M201" s="30">
        <v>3.3</v>
      </c>
      <c r="N201" s="29">
        <f>5.8</f>
        <v>5.8</v>
      </c>
      <c r="O201" s="29">
        <v>948780.2</v>
      </c>
      <c r="P201" s="51">
        <f t="shared" si="15"/>
        <v>5.8109702437238391E-2</v>
      </c>
      <c r="Q201" s="29">
        <f>2.4</f>
        <v>2.4</v>
      </c>
      <c r="R201" s="43">
        <v>65.599999999999994</v>
      </c>
      <c r="S201" s="32">
        <f t="shared" si="18"/>
        <v>2.9827315541601122E-2</v>
      </c>
      <c r="T201" s="54" t="e">
        <f>VLOOKUP(A201,[1]인포맥스!$A:$I,9,0)</f>
        <v>#N/A</v>
      </c>
      <c r="U201" s="70" t="e">
        <f t="shared" si="19"/>
        <v>#N/A</v>
      </c>
    </row>
    <row r="202" spans="1:21" x14ac:dyDescent="0.25">
      <c r="A202" s="3">
        <v>38291</v>
      </c>
      <c r="B202" s="29">
        <f>87</f>
        <v>87</v>
      </c>
      <c r="C202" s="29">
        <v>72</v>
      </c>
      <c r="D202" s="50">
        <f>56.3</f>
        <v>56.3</v>
      </c>
      <c r="E202" s="30">
        <v>56.3</v>
      </c>
      <c r="F202" s="29">
        <f>19.7</f>
        <v>19.7</v>
      </c>
      <c r="G202" s="31" t="e">
        <v>#N/A</v>
      </c>
      <c r="H202" s="51" t="e">
        <f t="shared" si="16"/>
        <v>#N/A</v>
      </c>
      <c r="I202" s="29">
        <f>7.3</f>
        <v>7.3</v>
      </c>
      <c r="J202" s="31">
        <v>85.53</v>
      </c>
      <c r="K202" s="51">
        <f t="shared" si="17"/>
        <v>7.2745516116894476E-2</v>
      </c>
      <c r="L202" s="29">
        <f>3.8</f>
        <v>3.8</v>
      </c>
      <c r="M202" s="30">
        <v>3.8</v>
      </c>
      <c r="N202" s="29">
        <f>7</f>
        <v>7</v>
      </c>
      <c r="O202" s="29">
        <v>946832.6</v>
      </c>
      <c r="P202" s="51">
        <f t="shared" si="15"/>
        <v>6.9659818541419741E-2</v>
      </c>
      <c r="Q202" s="29">
        <f>2.8</f>
        <v>2.8</v>
      </c>
      <c r="R202" s="43">
        <v>65.5</v>
      </c>
      <c r="S202" s="32">
        <f t="shared" si="18"/>
        <v>3.1496062992125984E-2</v>
      </c>
      <c r="T202" s="54" t="e">
        <f>VLOOKUP(A202,[1]인포맥스!$A:$I,9,0)</f>
        <v>#N/A</v>
      </c>
      <c r="U202" s="70" t="e">
        <f t="shared" si="19"/>
        <v>#N/A</v>
      </c>
    </row>
    <row r="203" spans="1:21" x14ac:dyDescent="0.25">
      <c r="A203" s="3">
        <v>38260</v>
      </c>
      <c r="B203" s="29">
        <f>85</f>
        <v>85</v>
      </c>
      <c r="C203" s="29">
        <v>72</v>
      </c>
      <c r="D203" s="50">
        <f>57.4</f>
        <v>57.4</v>
      </c>
      <c r="E203" s="30">
        <v>57.4</v>
      </c>
      <c r="F203" s="29">
        <f>22.4</f>
        <v>22.4</v>
      </c>
      <c r="G203" s="31" t="e">
        <v>#N/A</v>
      </c>
      <c r="H203" s="51" t="e">
        <f t="shared" si="16"/>
        <v>#N/A</v>
      </c>
      <c r="I203" s="29">
        <f>7.5</f>
        <v>7.5</v>
      </c>
      <c r="J203" s="31">
        <v>85.49</v>
      </c>
      <c r="K203" s="51">
        <f t="shared" si="17"/>
        <v>7.5345911949685471E-2</v>
      </c>
      <c r="L203" s="29">
        <f>3.9</f>
        <v>3.9</v>
      </c>
      <c r="M203" s="30">
        <v>3.9</v>
      </c>
      <c r="N203" s="29">
        <f>6.2</f>
        <v>6.2</v>
      </c>
      <c r="O203" s="29">
        <v>946264.9</v>
      </c>
      <c r="P203" s="51">
        <f t="shared" si="15"/>
        <v>6.1841934875019468E-2</v>
      </c>
      <c r="Q203" s="29">
        <f>3.1</f>
        <v>3.1</v>
      </c>
      <c r="R203" s="43">
        <v>65.2</v>
      </c>
      <c r="S203" s="32">
        <f t="shared" si="18"/>
        <v>3.4920634920634963E-2</v>
      </c>
      <c r="T203" s="54" t="e">
        <f>VLOOKUP(A203,[1]인포맥스!$A:$I,9,0)</f>
        <v>#N/A</v>
      </c>
      <c r="U203" s="70" t="e">
        <f t="shared" si="19"/>
        <v>#N/A</v>
      </c>
    </row>
    <row r="204" spans="1:21" x14ac:dyDescent="0.25">
      <c r="A204" s="3">
        <v>38230</v>
      </c>
      <c r="B204" s="29">
        <f>84</f>
        <v>84</v>
      </c>
      <c r="C204" s="29">
        <v>68</v>
      </c>
      <c r="D204" s="50">
        <f>58.5</f>
        <v>58.5</v>
      </c>
      <c r="E204" s="30">
        <v>58.5</v>
      </c>
      <c r="F204" s="29">
        <f>28.8</f>
        <v>28.8</v>
      </c>
      <c r="G204" s="31" t="e">
        <v>#N/A</v>
      </c>
      <c r="H204" s="51" t="e">
        <f t="shared" si="16"/>
        <v>#N/A</v>
      </c>
      <c r="I204" s="29">
        <f>7.5</f>
        <v>7.5</v>
      </c>
      <c r="J204" s="31">
        <v>85.14</v>
      </c>
      <c r="K204" s="51">
        <f t="shared" si="17"/>
        <v>7.540735126942022E-2</v>
      </c>
      <c r="L204" s="29">
        <f>4.8</f>
        <v>4.8</v>
      </c>
      <c r="M204" s="30">
        <v>4.8</v>
      </c>
      <c r="N204" s="29">
        <f>5.6</f>
        <v>5.6</v>
      </c>
      <c r="O204" s="29">
        <v>936302.7</v>
      </c>
      <c r="P204" s="51">
        <f t="shared" si="15"/>
        <v>5.5725527038131738E-2</v>
      </c>
      <c r="Q204" s="29">
        <f>3.4</f>
        <v>3.4</v>
      </c>
      <c r="R204" s="43">
        <v>65.099999999999994</v>
      </c>
      <c r="S204" s="32">
        <f t="shared" si="18"/>
        <v>3.8277511961722348E-2</v>
      </c>
      <c r="T204" s="54" t="e">
        <f>VLOOKUP(A204,[1]인포맥스!$A:$I,9,0)</f>
        <v>#N/A</v>
      </c>
      <c r="U204" s="70" t="e">
        <f t="shared" si="19"/>
        <v>#N/A</v>
      </c>
    </row>
    <row r="205" spans="1:21" x14ac:dyDescent="0.25">
      <c r="A205" s="3">
        <v>38199</v>
      </c>
      <c r="B205" s="29">
        <f>85</f>
        <v>85</v>
      </c>
      <c r="C205" s="29">
        <v>67</v>
      </c>
      <c r="D205" s="50">
        <f>59.9</f>
        <v>59.9</v>
      </c>
      <c r="E205" s="30">
        <v>59.9</v>
      </c>
      <c r="F205" s="29">
        <f>36.1</f>
        <v>36.1</v>
      </c>
      <c r="G205" s="31" t="e">
        <v>#N/A</v>
      </c>
      <c r="H205" s="51" t="e">
        <f t="shared" si="16"/>
        <v>#N/A</v>
      </c>
      <c r="I205" s="29">
        <f>7</f>
        <v>7</v>
      </c>
      <c r="J205" s="31">
        <v>84.4</v>
      </c>
      <c r="K205" s="51">
        <f t="shared" si="17"/>
        <v>6.9979716024340902E-2</v>
      </c>
      <c r="L205" s="29">
        <f>4.4</f>
        <v>4.4000000000000004</v>
      </c>
      <c r="M205" s="30">
        <v>4.4000000000000004</v>
      </c>
      <c r="N205" s="29">
        <f>5.1</f>
        <v>5.0999999999999996</v>
      </c>
      <c r="O205" s="29">
        <v>931581.5</v>
      </c>
      <c r="P205" s="51">
        <f t="shared" si="15"/>
        <v>5.1158209560832564E-2</v>
      </c>
      <c r="Q205" s="29">
        <f>3.8</f>
        <v>3.8</v>
      </c>
      <c r="R205" s="43">
        <v>65.099999999999994</v>
      </c>
      <c r="S205" s="32">
        <f t="shared" si="18"/>
        <v>4.662379421221851E-2</v>
      </c>
      <c r="T205" s="54" t="e">
        <f>VLOOKUP(A205,[1]인포맥스!$A:$I,9,0)</f>
        <v>#N/A</v>
      </c>
      <c r="U205" s="70" t="e">
        <f t="shared" si="19"/>
        <v>#N/A</v>
      </c>
    </row>
    <row r="206" spans="1:21" x14ac:dyDescent="0.25">
      <c r="A206" s="3">
        <v>38168</v>
      </c>
      <c r="B206" s="29">
        <f>84</f>
        <v>84</v>
      </c>
      <c r="C206" s="29">
        <v>76</v>
      </c>
      <c r="D206" s="50">
        <f>60.5</f>
        <v>60.5</v>
      </c>
      <c r="E206" s="30">
        <v>60.5</v>
      </c>
      <c r="F206" s="29">
        <f>38.3</f>
        <v>38.299999999999997</v>
      </c>
      <c r="G206" s="31" t="e">
        <v>#N/A</v>
      </c>
      <c r="H206" s="51" t="e">
        <f t="shared" si="16"/>
        <v>#N/A</v>
      </c>
      <c r="I206" s="29">
        <f>6.8</f>
        <v>6.8</v>
      </c>
      <c r="J206" s="31">
        <v>84.06</v>
      </c>
      <c r="K206" s="51">
        <f t="shared" si="17"/>
        <v>6.756413512827035E-2</v>
      </c>
      <c r="L206" s="29">
        <f>3.6</f>
        <v>3.6</v>
      </c>
      <c r="M206" s="30">
        <v>3.6</v>
      </c>
      <c r="N206" s="29">
        <f>4.5</f>
        <v>4.5</v>
      </c>
      <c r="O206" s="29">
        <v>927101.8</v>
      </c>
      <c r="P206" s="51">
        <f t="shared" si="15"/>
        <v>4.5482399370118116E-2</v>
      </c>
      <c r="Q206" s="29">
        <f>4.1</f>
        <v>4.0999999999999996</v>
      </c>
      <c r="R206" s="43">
        <v>65.099999999999994</v>
      </c>
      <c r="S206" s="32">
        <f t="shared" si="18"/>
        <v>4.9999999999999906E-2</v>
      </c>
      <c r="T206" s="54" t="e">
        <f>VLOOKUP(A206,[1]인포맥스!$A:$I,9,0)</f>
        <v>#N/A</v>
      </c>
      <c r="U206" s="70" t="e">
        <f t="shared" si="19"/>
        <v>#N/A</v>
      </c>
    </row>
    <row r="207" spans="1:21" x14ac:dyDescent="0.25">
      <c r="A207" s="3">
        <v>38138</v>
      </c>
      <c r="B207" s="29">
        <f>89</f>
        <v>89</v>
      </c>
      <c r="C207" s="29">
        <v>79</v>
      </c>
      <c r="D207" s="50">
        <f>61.4</f>
        <v>61.4</v>
      </c>
      <c r="E207" s="30">
        <v>61.4</v>
      </c>
      <c r="F207" s="29">
        <f>42</f>
        <v>42</v>
      </c>
      <c r="G207" s="31" t="e">
        <v>#N/A</v>
      </c>
      <c r="H207" s="51" t="e">
        <f t="shared" si="16"/>
        <v>#N/A</v>
      </c>
      <c r="I207" s="29">
        <f>6.3</f>
        <v>6.3</v>
      </c>
      <c r="J207" s="31">
        <v>84.14</v>
      </c>
      <c r="K207" s="51">
        <f t="shared" si="17"/>
        <v>6.3447927199191054E-2</v>
      </c>
      <c r="L207" s="29">
        <f>3.3</f>
        <v>3.3</v>
      </c>
      <c r="M207" s="30">
        <v>3.3</v>
      </c>
      <c r="N207" s="29">
        <f>3.9</f>
        <v>3.9</v>
      </c>
      <c r="O207" s="29">
        <v>921252</v>
      </c>
      <c r="P207" s="51">
        <f t="shared" si="15"/>
        <v>3.93059290342581E-2</v>
      </c>
      <c r="Q207" s="29">
        <f>4.3</f>
        <v>4.3</v>
      </c>
      <c r="R207" s="43">
        <v>65.099999999999994</v>
      </c>
      <c r="S207" s="32">
        <f t="shared" si="18"/>
        <v>5.6818181818181698E-2</v>
      </c>
      <c r="T207" s="54" t="e">
        <f>VLOOKUP(A207,[1]인포맥스!$A:$I,9,0)</f>
        <v>#N/A</v>
      </c>
      <c r="U207" s="70" t="e">
        <f t="shared" si="19"/>
        <v>#N/A</v>
      </c>
    </row>
    <row r="208" spans="1:21" x14ac:dyDescent="0.25">
      <c r="A208" s="3">
        <v>38107</v>
      </c>
      <c r="B208" s="29">
        <f>93</f>
        <v>93</v>
      </c>
      <c r="C208" s="29">
        <v>88</v>
      </c>
      <c r="D208" s="50">
        <f>60.6</f>
        <v>60.6</v>
      </c>
      <c r="E208" s="30">
        <v>60.6</v>
      </c>
      <c r="F208" s="29">
        <f>36.7</f>
        <v>36.700000000000003</v>
      </c>
      <c r="G208" s="31" t="e">
        <v>#N/A</v>
      </c>
      <c r="H208" s="51" t="e">
        <f t="shared" si="16"/>
        <v>#N/A</v>
      </c>
      <c r="I208" s="29">
        <f>5.5</f>
        <v>5.5</v>
      </c>
      <c r="J208" s="31">
        <v>83.94</v>
      </c>
      <c r="K208" s="51">
        <f t="shared" si="17"/>
        <v>5.5052790346907937E-2</v>
      </c>
      <c r="L208" s="29">
        <f>3.3</f>
        <v>3.3</v>
      </c>
      <c r="M208" s="30">
        <v>3.3</v>
      </c>
      <c r="N208" s="29">
        <f>3.1</f>
        <v>3.1</v>
      </c>
      <c r="O208" s="29">
        <v>918329.7</v>
      </c>
      <c r="P208" s="51">
        <f t="shared" si="15"/>
        <v>3.1423653307300146E-2</v>
      </c>
      <c r="Q208" s="29">
        <f>4.5</f>
        <v>4.5</v>
      </c>
      <c r="R208" s="43">
        <v>65.099999999999994</v>
      </c>
      <c r="S208" s="32">
        <f t="shared" si="18"/>
        <v>5.8536585365853565E-2</v>
      </c>
      <c r="T208" s="54" t="e">
        <f>VLOOKUP(A208,[1]인포맥스!$A:$I,9,0)</f>
        <v>#N/A</v>
      </c>
      <c r="U208" s="70" t="e">
        <f t="shared" si="19"/>
        <v>#N/A</v>
      </c>
    </row>
    <row r="209" spans="1:21" x14ac:dyDescent="0.25">
      <c r="A209" s="3">
        <v>38077</v>
      </c>
      <c r="B209" s="29">
        <f>88</f>
        <v>88</v>
      </c>
      <c r="C209" s="29">
        <v>79</v>
      </c>
      <c r="D209" s="50">
        <f>60.6</f>
        <v>60.6</v>
      </c>
      <c r="E209" s="30">
        <v>60.6</v>
      </c>
      <c r="F209" s="29">
        <f>37.7</f>
        <v>37.700000000000003</v>
      </c>
      <c r="G209" s="31" t="e">
        <v>#N/A</v>
      </c>
      <c r="H209" s="51" t="e">
        <f t="shared" si="16"/>
        <v>#N/A</v>
      </c>
      <c r="I209" s="29">
        <f>4.5</f>
        <v>4.5</v>
      </c>
      <c r="J209" s="31">
        <v>83.54</v>
      </c>
      <c r="K209" s="51">
        <f t="shared" si="17"/>
        <v>4.477238619309671E-2</v>
      </c>
      <c r="L209" s="29">
        <f>3.1</f>
        <v>3.1</v>
      </c>
      <c r="M209" s="30">
        <v>3.1</v>
      </c>
      <c r="N209" s="29">
        <f>2.7</f>
        <v>2.7</v>
      </c>
      <c r="O209" s="29">
        <v>916675.5</v>
      </c>
      <c r="P209" s="51">
        <f t="shared" si="15"/>
        <v>2.7093379143497479E-2</v>
      </c>
      <c r="Q209" s="29">
        <f>4.4</f>
        <v>4.4000000000000004</v>
      </c>
      <c r="R209" s="43">
        <v>64.900000000000006</v>
      </c>
      <c r="S209" s="32">
        <f t="shared" si="18"/>
        <v>5.3571428571428638E-2</v>
      </c>
      <c r="T209" s="54" t="e">
        <f>VLOOKUP(A209,[1]인포맥스!$A:$I,9,0)</f>
        <v>#N/A</v>
      </c>
      <c r="U209" s="70" t="e">
        <f t="shared" si="19"/>
        <v>#N/A</v>
      </c>
    </row>
    <row r="210" spans="1:21" x14ac:dyDescent="0.25">
      <c r="A210" s="3">
        <v>38046</v>
      </c>
      <c r="B210" s="29">
        <f>84</f>
        <v>84</v>
      </c>
      <c r="C210" s="29">
        <v>76</v>
      </c>
      <c r="D210" s="50">
        <f>59.9</f>
        <v>59.9</v>
      </c>
      <c r="E210" s="30">
        <v>59.9</v>
      </c>
      <c r="F210" s="29">
        <f>43.5</f>
        <v>43.5</v>
      </c>
      <c r="G210" s="31" t="e">
        <v>#N/A</v>
      </c>
      <c r="H210" s="51" t="e">
        <f t="shared" si="16"/>
        <v>#N/A</v>
      </c>
      <c r="I210" s="29">
        <f>4.5</f>
        <v>4.5</v>
      </c>
      <c r="J210" s="31">
        <v>82.74</v>
      </c>
      <c r="K210" s="51">
        <f t="shared" si="17"/>
        <v>4.4828892536936449E-2</v>
      </c>
      <c r="L210" s="29">
        <f>3.3</f>
        <v>3.3</v>
      </c>
      <c r="M210" s="30">
        <v>3.3</v>
      </c>
      <c r="N210" s="29">
        <f>2.6</f>
        <v>2.6</v>
      </c>
      <c r="O210" s="29">
        <v>906803.8</v>
      </c>
      <c r="P210" s="51">
        <f t="shared" si="15"/>
        <v>2.6210585043960115E-2</v>
      </c>
      <c r="Q210" s="29">
        <f>4.5</f>
        <v>4.5</v>
      </c>
      <c r="R210" s="43">
        <v>64.599999999999994</v>
      </c>
      <c r="S210" s="32">
        <f t="shared" si="18"/>
        <v>5.0406504065040561E-2</v>
      </c>
      <c r="T210" s="54" t="e">
        <f>VLOOKUP(A210,[1]인포맥스!$A:$I,9,0)</f>
        <v>#N/A</v>
      </c>
      <c r="U210" s="70" t="e">
        <f t="shared" si="19"/>
        <v>#N/A</v>
      </c>
    </row>
    <row r="211" spans="1:21" x14ac:dyDescent="0.25">
      <c r="A211" s="3">
        <v>38017</v>
      </c>
      <c r="B211" s="29">
        <f>84</f>
        <v>84</v>
      </c>
      <c r="C211" s="29">
        <v>77</v>
      </c>
      <c r="D211" s="50">
        <f>60.8</f>
        <v>60.8</v>
      </c>
      <c r="E211" s="30">
        <v>60.8</v>
      </c>
      <c r="F211" s="29">
        <f>32.6</f>
        <v>32.6</v>
      </c>
      <c r="G211" s="31" t="e">
        <v>#N/A</v>
      </c>
      <c r="H211" s="51" t="e">
        <f t="shared" si="16"/>
        <v>#N/A</v>
      </c>
      <c r="I211" s="29">
        <f>3.7</f>
        <v>3.7</v>
      </c>
      <c r="J211" s="31">
        <v>81.72</v>
      </c>
      <c r="K211" s="51">
        <f t="shared" si="17"/>
        <v>3.7450806144471285E-2</v>
      </c>
      <c r="L211" s="29">
        <f>3.4</f>
        <v>3.4</v>
      </c>
      <c r="M211" s="30">
        <v>3.4</v>
      </c>
      <c r="N211" s="29">
        <f>2.4</f>
        <v>2.4</v>
      </c>
      <c r="O211" s="29">
        <v>901048.5</v>
      </c>
      <c r="P211" s="51">
        <f t="shared" si="15"/>
        <v>2.3627132588477404E-2</v>
      </c>
      <c r="Q211" s="29">
        <f>4.1</f>
        <v>4.0999999999999996</v>
      </c>
      <c r="R211" s="43">
        <v>64.3</v>
      </c>
      <c r="S211" s="32">
        <f t="shared" si="18"/>
        <v>4.55284552845528E-2</v>
      </c>
      <c r="T211" s="54" t="e">
        <f>VLOOKUP(A211,[1]인포맥스!$A:$I,9,0)</f>
        <v>#N/A</v>
      </c>
      <c r="U211" s="70" t="e">
        <f t="shared" si="19"/>
        <v>#N/A</v>
      </c>
    </row>
    <row r="212" spans="1:21" x14ac:dyDescent="0.25">
      <c r="A212" s="3">
        <v>37986</v>
      </c>
      <c r="B212" s="29">
        <f>88</f>
        <v>88</v>
      </c>
      <c r="C212" s="29">
        <v>81</v>
      </c>
      <c r="D212" s="50">
        <f>60.1</f>
        <v>60.1</v>
      </c>
      <c r="E212" s="30">
        <v>60.1</v>
      </c>
      <c r="F212" s="29">
        <f>31.3</f>
        <v>31.3</v>
      </c>
      <c r="G212" s="31" t="e">
        <v>#N/A</v>
      </c>
      <c r="H212" s="51" t="e">
        <f t="shared" si="16"/>
        <v>#N/A</v>
      </c>
      <c r="I212" s="29">
        <f>3.1</f>
        <v>3.1</v>
      </c>
      <c r="J212" s="31">
        <v>80.62</v>
      </c>
      <c r="K212" s="51">
        <f t="shared" si="17"/>
        <v>3.1210028140189274E-2</v>
      </c>
      <c r="L212" s="29">
        <f>3.4</f>
        <v>3.4</v>
      </c>
      <c r="M212" s="30">
        <v>3.4</v>
      </c>
      <c r="N212" s="29">
        <f>3</f>
        <v>3</v>
      </c>
      <c r="O212" s="29">
        <v>901818.6</v>
      </c>
      <c r="P212" s="51">
        <f t="shared" si="15"/>
        <v>3.0172417239781993E-2</v>
      </c>
      <c r="Q212" s="29">
        <f>3.6</f>
        <v>3.6</v>
      </c>
      <c r="R212" s="43">
        <v>63.9</v>
      </c>
      <c r="S212" s="32">
        <f t="shared" si="18"/>
        <v>4.0716612377850167E-2</v>
      </c>
      <c r="T212" s="54" t="e">
        <f>VLOOKUP(A212,[1]인포맥스!$A:$I,9,0)</f>
        <v>#N/A</v>
      </c>
      <c r="U212" s="70" t="e">
        <f t="shared" si="19"/>
        <v>#N/A</v>
      </c>
    </row>
    <row r="213" spans="1:21" x14ac:dyDescent="0.25">
      <c r="A213" s="3">
        <v>37955</v>
      </c>
      <c r="B213" s="29">
        <f>86</f>
        <v>86</v>
      </c>
      <c r="C213" s="29">
        <v>80</v>
      </c>
      <c r="D213" s="50">
        <f>58.4</f>
        <v>58.4</v>
      </c>
      <c r="E213" s="30">
        <v>58.4</v>
      </c>
      <c r="F213" s="29">
        <f>20</f>
        <v>20</v>
      </c>
      <c r="G213" s="31" t="e">
        <v>#N/A</v>
      </c>
      <c r="H213" s="51" t="e">
        <f t="shared" si="16"/>
        <v>#N/A</v>
      </c>
      <c r="I213" s="29">
        <f>2.5</f>
        <v>2.5</v>
      </c>
      <c r="J213" s="31">
        <v>80.099999999999994</v>
      </c>
      <c r="K213" s="51">
        <f t="shared" si="17"/>
        <v>2.4689778687475919E-2</v>
      </c>
      <c r="L213" s="29">
        <f>3.4</f>
        <v>3.4</v>
      </c>
      <c r="M213" s="30">
        <v>3.4</v>
      </c>
      <c r="N213" s="29">
        <f>3.2</f>
        <v>3.2</v>
      </c>
      <c r="O213" s="29">
        <v>896674.7</v>
      </c>
      <c r="P213" s="51">
        <f t="shared" si="15"/>
        <v>3.2135698307212836E-2</v>
      </c>
      <c r="Q213" s="29">
        <f>3</f>
        <v>3</v>
      </c>
      <c r="R213" s="43">
        <v>63.7</v>
      </c>
      <c r="S213" s="32">
        <f t="shared" si="18"/>
        <v>4.084967320261438E-2</v>
      </c>
      <c r="T213" s="54" t="e">
        <f>VLOOKUP(A213,[1]인포맥스!$A:$I,9,0)</f>
        <v>#N/A</v>
      </c>
      <c r="U213" s="70" t="e">
        <f t="shared" si="19"/>
        <v>#N/A</v>
      </c>
    </row>
    <row r="214" spans="1:21" x14ac:dyDescent="0.25">
      <c r="A214" s="3">
        <v>37925</v>
      </c>
      <c r="B214" s="29">
        <f>78</f>
        <v>78</v>
      </c>
      <c r="C214" s="29">
        <v>77</v>
      </c>
      <c r="D214" s="50">
        <f>55.2</f>
        <v>55.2</v>
      </c>
      <c r="E214" s="30">
        <v>55.2</v>
      </c>
      <c r="F214" s="29">
        <f>25.5</f>
        <v>25.5</v>
      </c>
      <c r="G214" s="31" t="e">
        <v>#N/A</v>
      </c>
      <c r="H214" s="51" t="e">
        <f t="shared" si="16"/>
        <v>#N/A</v>
      </c>
      <c r="I214" s="29">
        <f>2.2</f>
        <v>2.2000000000000002</v>
      </c>
      <c r="J214" s="31">
        <v>79.73</v>
      </c>
      <c r="K214" s="51">
        <f t="shared" si="17"/>
        <v>2.204845532624021E-2</v>
      </c>
      <c r="L214" s="29">
        <f>3.7</f>
        <v>3.7</v>
      </c>
      <c r="M214" s="30">
        <v>3.7</v>
      </c>
      <c r="N214" s="29">
        <f>3.8</f>
        <v>3.8</v>
      </c>
      <c r="O214" s="29">
        <v>885171.7</v>
      </c>
      <c r="P214" s="51">
        <f t="shared" si="15"/>
        <v>3.7603060300121983E-2</v>
      </c>
      <c r="Q214" s="29">
        <f>2.5</f>
        <v>2.5</v>
      </c>
      <c r="R214" s="43">
        <v>63.5</v>
      </c>
      <c r="S214" s="32">
        <f t="shared" si="18"/>
        <v>3.9279869067103089E-2</v>
      </c>
      <c r="T214" s="54" t="e">
        <f>VLOOKUP(A214,[1]인포맥스!$A:$I,9,0)</f>
        <v>#N/A</v>
      </c>
      <c r="U214" s="70" t="e">
        <f t="shared" si="19"/>
        <v>#N/A</v>
      </c>
    </row>
    <row r="215" spans="1:21" x14ac:dyDescent="0.25">
      <c r="A215" s="3">
        <v>37894</v>
      </c>
      <c r="B215" s="29">
        <f>74</f>
        <v>74</v>
      </c>
      <c r="C215" s="29">
        <v>70</v>
      </c>
      <c r="D215" s="50">
        <f>52.4</f>
        <v>52.4</v>
      </c>
      <c r="E215" s="30">
        <v>52.4</v>
      </c>
      <c r="F215" s="29">
        <f>22.4</f>
        <v>22.4</v>
      </c>
      <c r="G215" s="31" t="e">
        <v>#N/A</v>
      </c>
      <c r="H215" s="51" t="e">
        <f t="shared" si="16"/>
        <v>#N/A</v>
      </c>
      <c r="I215" s="29">
        <f>2</f>
        <v>2</v>
      </c>
      <c r="J215" s="31">
        <v>79.5</v>
      </c>
      <c r="K215" s="51">
        <f t="shared" si="17"/>
        <v>2.0408163265306166E-2</v>
      </c>
      <c r="L215" s="29">
        <f>3.3</f>
        <v>3.3</v>
      </c>
      <c r="M215" s="30">
        <v>3.3</v>
      </c>
      <c r="N215" s="29">
        <f>5.8</f>
        <v>5.8</v>
      </c>
      <c r="O215" s="29">
        <v>891154.2</v>
      </c>
      <c r="P215" s="51">
        <f t="shared" si="15"/>
        <v>5.7734726627039087E-2</v>
      </c>
      <c r="Q215" s="29">
        <f>1.7</f>
        <v>1.7</v>
      </c>
      <c r="R215" s="43">
        <v>63</v>
      </c>
      <c r="S215" s="32">
        <f t="shared" si="18"/>
        <v>2.605863192182413E-2</v>
      </c>
      <c r="T215" s="54" t="e">
        <f>VLOOKUP(A215,[1]인포맥스!$A:$I,9,0)</f>
        <v>#N/A</v>
      </c>
      <c r="U215" s="70" t="e">
        <f t="shared" si="19"/>
        <v>#N/A</v>
      </c>
    </row>
    <row r="216" spans="1:21" x14ac:dyDescent="0.25">
      <c r="A216" s="3">
        <v>37864</v>
      </c>
      <c r="B216" s="29">
        <f>73</f>
        <v>73</v>
      </c>
      <c r="C216" s="29">
        <v>68</v>
      </c>
      <c r="D216" s="50">
        <f>53.2</f>
        <v>53.2</v>
      </c>
      <c r="E216" s="30">
        <v>53.2</v>
      </c>
      <c r="F216" s="29">
        <f>10.1</f>
        <v>10.1</v>
      </c>
      <c r="G216" s="31" t="e">
        <v>#N/A</v>
      </c>
      <c r="H216" s="51" t="e">
        <f t="shared" si="16"/>
        <v>#N/A</v>
      </c>
      <c r="I216" s="29">
        <f>1.8</f>
        <v>1.8</v>
      </c>
      <c r="J216" s="31">
        <v>79.17</v>
      </c>
      <c r="K216" s="51">
        <f t="shared" si="17"/>
        <v>1.8263665594855327E-2</v>
      </c>
      <c r="L216" s="29">
        <f>3</f>
        <v>3</v>
      </c>
      <c r="M216" s="30">
        <v>3</v>
      </c>
      <c r="N216" s="29">
        <f>6.7</f>
        <v>6.7</v>
      </c>
      <c r="O216" s="29">
        <v>886880.8</v>
      </c>
      <c r="P216" s="51">
        <f t="shared" si="15"/>
        <v>6.6576037610096409E-2</v>
      </c>
      <c r="Q216" s="29">
        <f>1.2</f>
        <v>1.2</v>
      </c>
      <c r="R216" s="43">
        <v>62.7</v>
      </c>
      <c r="S216" s="32">
        <f t="shared" si="18"/>
        <v>1.9512195121951265E-2</v>
      </c>
      <c r="T216" s="54" t="e">
        <f>VLOOKUP(A216,[1]인포맥스!$A:$I,9,0)</f>
        <v>#N/A</v>
      </c>
      <c r="U216" s="70" t="e">
        <f t="shared" si="19"/>
        <v>#N/A</v>
      </c>
    </row>
    <row r="217" spans="1:21" x14ac:dyDescent="0.25">
      <c r="A217" s="3">
        <v>37833</v>
      </c>
      <c r="B217" s="29">
        <f>75</f>
        <v>75</v>
      </c>
      <c r="C217" s="29">
        <v>66</v>
      </c>
      <c r="D217" s="50">
        <f>51</f>
        <v>51</v>
      </c>
      <c r="E217" s="30">
        <v>51</v>
      </c>
      <c r="F217" s="29">
        <f>15.2</f>
        <v>15.2</v>
      </c>
      <c r="G217" s="31" t="e">
        <v>#N/A</v>
      </c>
      <c r="H217" s="51" t="e">
        <f t="shared" si="16"/>
        <v>#N/A</v>
      </c>
      <c r="I217" s="29">
        <f>1.6</f>
        <v>1.6</v>
      </c>
      <c r="J217" s="31">
        <v>78.88</v>
      </c>
      <c r="K217" s="51">
        <f t="shared" si="17"/>
        <v>1.5840309079201413E-2</v>
      </c>
      <c r="L217" s="29">
        <f>3.2</f>
        <v>3.2</v>
      </c>
      <c r="M217" s="30">
        <v>3.2</v>
      </c>
      <c r="N217" s="29">
        <f>7</f>
        <v>7</v>
      </c>
      <c r="O217" s="29">
        <v>886242.9</v>
      </c>
      <c r="P217" s="51">
        <f t="shared" si="15"/>
        <v>7.037178703217141E-2</v>
      </c>
      <c r="Q217" s="29">
        <f>0.7</f>
        <v>0.7</v>
      </c>
      <c r="R217" s="43">
        <v>62.2</v>
      </c>
      <c r="S217" s="32">
        <f t="shared" si="18"/>
        <v>9.7402597402597626E-3</v>
      </c>
      <c r="T217" s="54" t="e">
        <f>VLOOKUP(A217,[1]인포맥스!$A:$I,9,0)</f>
        <v>#N/A</v>
      </c>
      <c r="U217" s="70" t="e">
        <f t="shared" si="19"/>
        <v>#N/A</v>
      </c>
    </row>
    <row r="218" spans="1:21" x14ac:dyDescent="0.25">
      <c r="A218" s="3">
        <v>37802</v>
      </c>
      <c r="B218" s="29">
        <f>78</f>
        <v>78</v>
      </c>
      <c r="C218" s="29">
        <v>71</v>
      </c>
      <c r="D218" s="50">
        <f>49</f>
        <v>49</v>
      </c>
      <c r="E218" s="30">
        <v>49</v>
      </c>
      <c r="F218" s="29">
        <f>21.4</f>
        <v>21.4</v>
      </c>
      <c r="G218" s="31" t="e">
        <v>#N/A</v>
      </c>
      <c r="H218" s="51" t="e">
        <f t="shared" si="16"/>
        <v>#N/A</v>
      </c>
      <c r="I218" s="29">
        <f>1.1</f>
        <v>1.1000000000000001</v>
      </c>
      <c r="J218" s="31">
        <v>78.739999999999995</v>
      </c>
      <c r="K218" s="51">
        <f t="shared" si="17"/>
        <v>1.117246693206614E-2</v>
      </c>
      <c r="L218" s="29">
        <f>3</f>
        <v>3</v>
      </c>
      <c r="M218" s="30">
        <v>3</v>
      </c>
      <c r="N218" s="29">
        <f>7.9</f>
        <v>7.9</v>
      </c>
      <c r="O218" s="29">
        <v>886769.4</v>
      </c>
      <c r="P218" s="51">
        <f t="shared" si="15"/>
        <v>7.8653038450782864E-2</v>
      </c>
      <c r="Q218" s="29">
        <f>0.6</f>
        <v>0.6</v>
      </c>
      <c r="R218" s="43">
        <v>62</v>
      </c>
      <c r="S218" s="32">
        <f t="shared" si="18"/>
        <v>4.8622366288492242E-3</v>
      </c>
      <c r="T218" s="54" t="e">
        <f>VLOOKUP(A218,[1]인포맥스!$A:$I,9,0)</f>
        <v>#N/A</v>
      </c>
      <c r="U218" s="70" t="e">
        <f t="shared" si="19"/>
        <v>#N/A</v>
      </c>
    </row>
    <row r="219" spans="1:21" x14ac:dyDescent="0.25">
      <c r="A219" s="3">
        <v>37772</v>
      </c>
      <c r="B219" s="29">
        <f>78</f>
        <v>78</v>
      </c>
      <c r="C219" s="29">
        <v>74</v>
      </c>
      <c r="D219" s="50">
        <f>49</f>
        <v>49</v>
      </c>
      <c r="E219" s="30">
        <v>49</v>
      </c>
      <c r="F219" s="29">
        <f>3.5</f>
        <v>3.5</v>
      </c>
      <c r="G219" s="31" t="e">
        <v>#N/A</v>
      </c>
      <c r="H219" s="51" t="e">
        <f t="shared" si="16"/>
        <v>#N/A</v>
      </c>
      <c r="I219" s="29">
        <f>1</f>
        <v>1</v>
      </c>
      <c r="J219" s="31">
        <v>79.12</v>
      </c>
      <c r="K219" s="51">
        <f t="shared" si="17"/>
        <v>9.5699885160137801E-3</v>
      </c>
      <c r="L219" s="29">
        <f>3.2</f>
        <v>3.2</v>
      </c>
      <c r="M219" s="30">
        <v>3.2</v>
      </c>
      <c r="N219" s="29">
        <f>9.1</f>
        <v>9.1</v>
      </c>
      <c r="O219" s="29">
        <v>886410.8</v>
      </c>
      <c r="P219" s="51">
        <f t="shared" si="15"/>
        <v>9.0556820652217498E-2</v>
      </c>
      <c r="Q219" s="29">
        <f>0.3</f>
        <v>0.3</v>
      </c>
      <c r="R219" s="43">
        <v>61.6</v>
      </c>
      <c r="S219" s="32">
        <f t="shared" si="18"/>
        <v>-8.0515297906602248E-3</v>
      </c>
      <c r="T219" s="54" t="e">
        <f>VLOOKUP(A219,[1]인포맥스!$A:$I,9,0)</f>
        <v>#N/A</v>
      </c>
      <c r="U219" s="70" t="e">
        <f t="shared" si="19"/>
        <v>#N/A</v>
      </c>
    </row>
    <row r="220" spans="1:21" x14ac:dyDescent="0.25">
      <c r="A220" s="3">
        <v>37741</v>
      </c>
      <c r="B220" s="29">
        <f>82</f>
        <v>82</v>
      </c>
      <c r="C220" s="29">
        <v>76</v>
      </c>
      <c r="D220" s="50">
        <f>46.1</f>
        <v>46.1</v>
      </c>
      <c r="E220" s="30">
        <v>46.1</v>
      </c>
      <c r="F220" s="29">
        <f>19.2</f>
        <v>19.2</v>
      </c>
      <c r="G220" s="31" t="e">
        <v>#N/A</v>
      </c>
      <c r="H220" s="51" t="e">
        <f t="shared" si="16"/>
        <v>#N/A</v>
      </c>
      <c r="I220" s="29">
        <f>1.9</f>
        <v>1.9</v>
      </c>
      <c r="J220" s="31">
        <v>79.56</v>
      </c>
      <c r="K220" s="51">
        <f t="shared" si="17"/>
        <v>1.9477191184008147E-2</v>
      </c>
      <c r="L220" s="29">
        <f>3.7</f>
        <v>3.7</v>
      </c>
      <c r="M220" s="30">
        <v>3.7</v>
      </c>
      <c r="N220" s="29">
        <f>10.3</f>
        <v>10.3</v>
      </c>
      <c r="O220" s="29">
        <v>890351.6</v>
      </c>
      <c r="P220" s="51">
        <f t="shared" si="15"/>
        <v>0.10348114926422536</v>
      </c>
      <c r="Q220" s="29">
        <f>0.8</f>
        <v>0.8</v>
      </c>
      <c r="R220" s="43">
        <v>61.5</v>
      </c>
      <c r="S220" s="32">
        <f t="shared" si="18"/>
        <v>-9.6618357487922926E-3</v>
      </c>
      <c r="T220" s="54" t="e">
        <f>VLOOKUP(A220,[1]인포맥스!$A:$I,9,0)</f>
        <v>#N/A</v>
      </c>
      <c r="U220" s="70" t="e">
        <f t="shared" si="19"/>
        <v>#N/A</v>
      </c>
    </row>
    <row r="221" spans="1:21" x14ac:dyDescent="0.25">
      <c r="A221" s="3">
        <v>37711</v>
      </c>
      <c r="B221" s="29">
        <f>78</f>
        <v>78</v>
      </c>
      <c r="C221" s="29">
        <v>71</v>
      </c>
      <c r="D221" s="50">
        <f>46.3</f>
        <v>46.3</v>
      </c>
      <c r="E221" s="30">
        <v>46.3</v>
      </c>
      <c r="F221" s="29">
        <f>16.1</f>
        <v>16.100000000000001</v>
      </c>
      <c r="G221" s="31" t="e">
        <v>#N/A</v>
      </c>
      <c r="H221" s="51" t="e">
        <f t="shared" si="16"/>
        <v>#N/A</v>
      </c>
      <c r="I221" s="29">
        <f>3.3</f>
        <v>3.3</v>
      </c>
      <c r="J221" s="31">
        <v>79.959999999999994</v>
      </c>
      <c r="K221" s="51">
        <f t="shared" si="17"/>
        <v>3.2541322314049534E-2</v>
      </c>
      <c r="L221" s="29">
        <f>4.5</f>
        <v>4.5</v>
      </c>
      <c r="M221" s="30">
        <v>4.5</v>
      </c>
      <c r="N221" s="29">
        <f>13.3</f>
        <v>13.3</v>
      </c>
      <c r="O221" s="29">
        <v>892494.8</v>
      </c>
      <c r="P221" s="51">
        <f t="shared" si="15"/>
        <v>0.11921636089413931</v>
      </c>
      <c r="Q221" s="29">
        <f>1.6</f>
        <v>1.6</v>
      </c>
      <c r="R221" s="43">
        <v>61.6</v>
      </c>
      <c r="S221" s="32">
        <f t="shared" si="18"/>
        <v>-1.6207455429497798E-3</v>
      </c>
      <c r="T221" s="54" t="e">
        <f>VLOOKUP(A221,[1]인포맥스!$A:$I,9,0)</f>
        <v>#N/A</v>
      </c>
      <c r="U221" s="70" t="e">
        <f t="shared" si="19"/>
        <v>#N/A</v>
      </c>
    </row>
    <row r="222" spans="1:21" x14ac:dyDescent="0.25">
      <c r="A222" s="3">
        <v>37680</v>
      </c>
      <c r="B222" s="29">
        <f>81</f>
        <v>81</v>
      </c>
      <c r="C222" s="29">
        <v>73</v>
      </c>
      <c r="D222" s="50">
        <f>48.8</f>
        <v>48.8</v>
      </c>
      <c r="E222" s="30">
        <v>48.8</v>
      </c>
      <c r="F222" s="29">
        <f>21</f>
        <v>21</v>
      </c>
      <c r="G222" s="31" t="e">
        <v>#N/A</v>
      </c>
      <c r="H222" s="51" t="e">
        <f t="shared" si="16"/>
        <v>#N/A</v>
      </c>
      <c r="I222" s="29">
        <f>2.8</f>
        <v>2.8</v>
      </c>
      <c r="J222" s="31">
        <v>79.19</v>
      </c>
      <c r="K222" s="51">
        <f t="shared" si="17"/>
        <v>2.7907580477673822E-2</v>
      </c>
      <c r="L222" s="29">
        <f>3.9</f>
        <v>3.9</v>
      </c>
      <c r="M222" s="30">
        <v>3.9</v>
      </c>
      <c r="N222" s="29">
        <f>13.3</f>
        <v>13.3</v>
      </c>
      <c r="O222" s="29">
        <v>883643</v>
      </c>
      <c r="P222" s="51">
        <f t="shared" si="15"/>
        <v>0.13337708773458612</v>
      </c>
      <c r="Q222" s="29">
        <f>2.4</f>
        <v>2.4</v>
      </c>
      <c r="R222" s="43">
        <v>61.5</v>
      </c>
      <c r="S222" s="32">
        <f t="shared" si="18"/>
        <v>1.3179571663920876E-2</v>
      </c>
      <c r="T222" s="54" t="e">
        <f>VLOOKUP(A222,[1]인포맥스!$A:$I,9,0)</f>
        <v>#N/A</v>
      </c>
      <c r="U222" s="70" t="e">
        <f t="shared" si="19"/>
        <v>#N/A</v>
      </c>
    </row>
    <row r="223" spans="1:21" x14ac:dyDescent="0.25">
      <c r="A223" s="3">
        <v>37652</v>
      </c>
      <c r="B223" s="29">
        <f>89</f>
        <v>89</v>
      </c>
      <c r="C223" s="29">
        <v>82</v>
      </c>
      <c r="D223" s="50">
        <f>51.3</f>
        <v>51.3</v>
      </c>
      <c r="E223" s="30">
        <v>51.3</v>
      </c>
      <c r="F223" s="29">
        <f>25.8</f>
        <v>25.8</v>
      </c>
      <c r="G223" s="31" t="e">
        <v>#N/A</v>
      </c>
      <c r="H223" s="51" t="e">
        <f t="shared" si="16"/>
        <v>#N/A</v>
      </c>
      <c r="I223" s="29">
        <f>2.8</f>
        <v>2.8</v>
      </c>
      <c r="J223" s="31">
        <v>78.77</v>
      </c>
      <c r="K223" s="51">
        <f t="shared" si="17"/>
        <v>2.7658186562296024E-2</v>
      </c>
      <c r="L223" s="29">
        <f>3.8</f>
        <v>3.8</v>
      </c>
      <c r="M223" s="30">
        <v>3.8</v>
      </c>
      <c r="N223" s="29">
        <f>13.9</f>
        <v>13.9</v>
      </c>
      <c r="O223" s="29">
        <v>880250.7</v>
      </c>
      <c r="P223" s="51">
        <f t="shared" si="15"/>
        <v>0.13931394264178509</v>
      </c>
      <c r="Q223" s="29">
        <f>3.2</f>
        <v>3.2</v>
      </c>
      <c r="R223" s="43">
        <v>61.5</v>
      </c>
      <c r="S223" s="32">
        <f t="shared" si="18"/>
        <v>3.0150753768844171E-2</v>
      </c>
      <c r="T223" s="54" t="e">
        <f>VLOOKUP(A223,[1]인포맥스!$A:$I,9,0)</f>
        <v>#N/A</v>
      </c>
      <c r="U223" s="70" t="e">
        <f t="shared" si="19"/>
        <v>#N/A</v>
      </c>
    </row>
    <row r="224" spans="1:21" x14ac:dyDescent="0.25">
      <c r="A224" s="3">
        <v>37621</v>
      </c>
      <c r="B224" s="29" t="e">
        <f>NA()</f>
        <v>#N/A</v>
      </c>
      <c r="C224" s="29" t="e">
        <v>#N/A</v>
      </c>
      <c r="D224" s="50">
        <f>51.6</f>
        <v>51.6</v>
      </c>
      <c r="E224" s="30">
        <v>51.6</v>
      </c>
      <c r="F224" s="29">
        <f>26.1</f>
        <v>26.1</v>
      </c>
      <c r="G224" s="31" t="e">
        <v>#N/A</v>
      </c>
      <c r="H224" s="51" t="e">
        <f t="shared" si="16"/>
        <v>#N/A</v>
      </c>
      <c r="I224" s="29">
        <f>2.2</f>
        <v>2.2000000000000002</v>
      </c>
      <c r="J224" s="31">
        <v>78.180000000000007</v>
      </c>
      <c r="K224" s="51">
        <f t="shared" si="17"/>
        <v>2.2361710474696064E-2</v>
      </c>
      <c r="L224" s="29">
        <f>3.7</f>
        <v>3.7</v>
      </c>
      <c r="M224" s="30">
        <v>3.7</v>
      </c>
      <c r="N224" s="29">
        <f>14.1</f>
        <v>14.1</v>
      </c>
      <c r="O224" s="29">
        <v>875405.5</v>
      </c>
      <c r="P224" s="51">
        <f t="shared" si="15"/>
        <v>0.14126099291168479</v>
      </c>
      <c r="Q224" s="29">
        <f>3.9</f>
        <v>3.9</v>
      </c>
      <c r="R224" s="43">
        <v>61.4</v>
      </c>
      <c r="S224" s="32">
        <f t="shared" si="18"/>
        <v>4.9572649572649549E-2</v>
      </c>
      <c r="T224" s="54" t="e">
        <f>VLOOKUP(A224,[1]인포맥스!$A:$I,9,0)</f>
        <v>#N/A</v>
      </c>
      <c r="U224" s="70" t="e">
        <f t="shared" si="19"/>
        <v>#N/A</v>
      </c>
    </row>
    <row r="225" spans="1:21" x14ac:dyDescent="0.25">
      <c r="A225" s="3">
        <v>37590</v>
      </c>
      <c r="B225" s="29" t="e">
        <f>NA()</f>
        <v>#N/A</v>
      </c>
      <c r="C225" s="29" t="e">
        <v>#N/A</v>
      </c>
      <c r="D225" s="50">
        <f>48.5</f>
        <v>48.5</v>
      </c>
      <c r="E225" s="30">
        <v>48.5</v>
      </c>
      <c r="F225" s="29">
        <f>23.1</f>
        <v>23.1</v>
      </c>
      <c r="G225" s="31" t="e">
        <v>#N/A</v>
      </c>
      <c r="H225" s="51" t="e">
        <f t="shared" si="16"/>
        <v>#N/A</v>
      </c>
      <c r="I225" s="29">
        <f>1.6</f>
        <v>1.6</v>
      </c>
      <c r="J225" s="31">
        <v>78.17</v>
      </c>
      <c r="K225" s="51">
        <f t="shared" si="17"/>
        <v>1.5986482973745827E-2</v>
      </c>
      <c r="L225" s="29">
        <f>3.5</f>
        <v>3.5</v>
      </c>
      <c r="M225" s="30">
        <v>3.5</v>
      </c>
      <c r="N225" s="29">
        <f>13.3</f>
        <v>13.3</v>
      </c>
      <c r="O225" s="29">
        <v>868756.6</v>
      </c>
      <c r="P225" s="51">
        <f t="shared" si="15"/>
        <v>0.13310146721015115</v>
      </c>
      <c r="Q225" s="29">
        <f>4.4</f>
        <v>4.4000000000000004</v>
      </c>
      <c r="R225" s="43">
        <v>61.2</v>
      </c>
      <c r="S225" s="32">
        <f t="shared" si="18"/>
        <v>6.4347826086956578E-2</v>
      </c>
      <c r="T225" s="54" t="e">
        <f>VLOOKUP(A225,[1]인포맥스!$A:$I,9,0)</f>
        <v>#N/A</v>
      </c>
      <c r="U225" s="70" t="e">
        <f t="shared" si="19"/>
        <v>#N/A</v>
      </c>
    </row>
    <row r="226" spans="1:21" x14ac:dyDescent="0.25">
      <c r="A226" s="3">
        <v>37560</v>
      </c>
      <c r="B226" s="29" t="e">
        <f>NA()</f>
        <v>#N/A</v>
      </c>
      <c r="C226" s="29" t="e">
        <v>#N/A</v>
      </c>
      <c r="D226" s="50">
        <f>49</f>
        <v>49</v>
      </c>
      <c r="E226" s="30">
        <v>49</v>
      </c>
      <c r="F226" s="29">
        <f>24.8</f>
        <v>24.8</v>
      </c>
      <c r="G226" s="31" t="e">
        <v>#N/A</v>
      </c>
      <c r="H226" s="51" t="e">
        <f t="shared" si="16"/>
        <v>#N/A</v>
      </c>
      <c r="I226" s="29">
        <f>1</f>
        <v>1</v>
      </c>
      <c r="J226" s="31">
        <v>78.010000000000005</v>
      </c>
      <c r="K226" s="51">
        <f t="shared" si="17"/>
        <v>9.8381877022654385E-3</v>
      </c>
      <c r="L226" s="29">
        <f>2.8</f>
        <v>2.8</v>
      </c>
      <c r="M226" s="30">
        <v>2.8</v>
      </c>
      <c r="N226" s="29">
        <f>11.6</f>
        <v>11.6</v>
      </c>
      <c r="O226" s="29">
        <v>853092.8</v>
      </c>
      <c r="P226" s="51">
        <f t="shared" si="15"/>
        <v>0.11638551337874561</v>
      </c>
      <c r="Q226" s="29">
        <f>5.3</f>
        <v>5.3</v>
      </c>
      <c r="R226" s="43">
        <v>61.1</v>
      </c>
      <c r="S226" s="32">
        <f t="shared" si="18"/>
        <v>7.9505300353356886E-2</v>
      </c>
      <c r="T226" s="54" t="e">
        <f>VLOOKUP(A226,[1]인포맥스!$A:$I,9,0)</f>
        <v>#N/A</v>
      </c>
      <c r="U226" s="70" t="e">
        <f t="shared" si="19"/>
        <v>#N/A</v>
      </c>
    </row>
    <row r="227" spans="1:21" x14ac:dyDescent="0.25">
      <c r="A227" s="3">
        <v>37529</v>
      </c>
      <c r="B227" s="29" t="e">
        <f>NA()</f>
        <v>#N/A</v>
      </c>
      <c r="C227" s="29" t="e">
        <v>#N/A</v>
      </c>
      <c r="D227" s="50">
        <f>50.5</f>
        <v>50.5</v>
      </c>
      <c r="E227" s="30">
        <v>50.5</v>
      </c>
      <c r="F227" s="29">
        <f>11.7</f>
        <v>11.7</v>
      </c>
      <c r="G227" s="31" t="e">
        <v>#N/A</v>
      </c>
      <c r="H227" s="51" t="e">
        <f t="shared" si="16"/>
        <v>#N/A</v>
      </c>
      <c r="I227" s="29">
        <f>0.4</f>
        <v>0.4</v>
      </c>
      <c r="J227" s="31">
        <v>77.91</v>
      </c>
      <c r="K227" s="51">
        <f t="shared" si="17"/>
        <v>3.7361504766811652E-3</v>
      </c>
      <c r="L227" s="29">
        <f>3.1</f>
        <v>3.1</v>
      </c>
      <c r="M227" s="30">
        <v>3.1</v>
      </c>
      <c r="N227" s="29">
        <f>10.6</f>
        <v>10.6</v>
      </c>
      <c r="O227" s="29">
        <v>842512</v>
      </c>
      <c r="P227" s="51">
        <f t="shared" si="15"/>
        <v>0.10648197458187729</v>
      </c>
      <c r="Q227" s="29">
        <f>6.9</f>
        <v>6.9</v>
      </c>
      <c r="R227" s="43">
        <v>61.4</v>
      </c>
      <c r="S227" s="32">
        <f t="shared" si="18"/>
        <v>9.2526690391458999E-2</v>
      </c>
      <c r="T227" s="54" t="e">
        <f>VLOOKUP(A227,[1]인포맥스!$A:$I,9,0)</f>
        <v>#N/A</v>
      </c>
      <c r="U227" s="70" t="e">
        <f t="shared" si="19"/>
        <v>#N/A</v>
      </c>
    </row>
    <row r="228" spans="1:21" x14ac:dyDescent="0.25">
      <c r="A228" s="3">
        <v>37499</v>
      </c>
      <c r="B228" s="29" t="e">
        <f>NA()</f>
        <v>#N/A</v>
      </c>
      <c r="C228" s="29" t="e">
        <v>#N/A</v>
      </c>
      <c r="D228" s="50">
        <f>50.3</f>
        <v>50.3</v>
      </c>
      <c r="E228" s="30">
        <v>50.3</v>
      </c>
      <c r="F228" s="29">
        <f>18.6</f>
        <v>18.600000000000001</v>
      </c>
      <c r="G228" s="31" t="e">
        <v>#N/A</v>
      </c>
      <c r="H228" s="51" t="e">
        <f t="shared" si="16"/>
        <v>#N/A</v>
      </c>
      <c r="I228" s="29">
        <f>-0.1</f>
        <v>-0.1</v>
      </c>
      <c r="J228" s="31">
        <v>77.75</v>
      </c>
      <c r="K228" s="51">
        <f t="shared" si="17"/>
        <v>-1.0278812797121714E-3</v>
      </c>
      <c r="L228" s="29">
        <f>2.4</f>
        <v>2.4</v>
      </c>
      <c r="M228" s="30">
        <v>2.4</v>
      </c>
      <c r="N228" s="29">
        <f>10.7</f>
        <v>10.7</v>
      </c>
      <c r="O228" s="29">
        <v>831521.4</v>
      </c>
      <c r="P228" s="51">
        <f t="shared" si="15"/>
        <v>0.10739880513212535</v>
      </c>
      <c r="Q228" s="29">
        <f>8.2</f>
        <v>8.1999999999999993</v>
      </c>
      <c r="R228" s="43">
        <v>61.5</v>
      </c>
      <c r="S228" s="32">
        <f t="shared" si="18"/>
        <v>0.10017889087656533</v>
      </c>
      <c r="T228" s="54" t="e">
        <f>VLOOKUP(A228,[1]인포맥스!$A:$I,9,0)</f>
        <v>#N/A</v>
      </c>
      <c r="U228" s="70" t="e">
        <f t="shared" si="19"/>
        <v>#N/A</v>
      </c>
    </row>
    <row r="229" spans="1:21" x14ac:dyDescent="0.25">
      <c r="A229" s="3">
        <v>37468</v>
      </c>
      <c r="B229" s="29" t="e">
        <f>NA()</f>
        <v>#N/A</v>
      </c>
      <c r="C229" s="29" t="e">
        <v>#N/A</v>
      </c>
      <c r="D229" s="50">
        <f>50.2</f>
        <v>50.2</v>
      </c>
      <c r="E229" s="30">
        <v>50.2</v>
      </c>
      <c r="F229" s="29">
        <f>17.6</f>
        <v>17.600000000000001</v>
      </c>
      <c r="G229" s="31" t="e">
        <v>#N/A</v>
      </c>
      <c r="H229" s="51" t="e">
        <f t="shared" si="16"/>
        <v>#N/A</v>
      </c>
      <c r="I229" s="29">
        <f>-0.7</f>
        <v>-0.7</v>
      </c>
      <c r="J229" s="31">
        <v>77.650000000000006</v>
      </c>
      <c r="K229" s="51">
        <f t="shared" si="17"/>
        <v>-7.1602096918551095E-3</v>
      </c>
      <c r="L229" s="29">
        <f>2.1</f>
        <v>2.1</v>
      </c>
      <c r="M229" s="30">
        <v>2.1</v>
      </c>
      <c r="N229" s="29">
        <f>11.5</f>
        <v>11.5</v>
      </c>
      <c r="O229" s="29">
        <v>827976.7</v>
      </c>
      <c r="P229" s="51">
        <f t="shared" si="15"/>
        <v>0.11450021738750023</v>
      </c>
      <c r="Q229" s="29">
        <f>9.5</f>
        <v>9.5</v>
      </c>
      <c r="R229" s="43">
        <v>61.6</v>
      </c>
      <c r="S229" s="32">
        <f t="shared" si="18"/>
        <v>0.10394265232974918</v>
      </c>
      <c r="T229" s="54" t="e">
        <f>VLOOKUP(A229,[1]인포맥스!$A:$I,9,0)</f>
        <v>#N/A</v>
      </c>
      <c r="U229" s="70" t="e">
        <f t="shared" si="19"/>
        <v>#N/A</v>
      </c>
    </row>
    <row r="230" spans="1:21" x14ac:dyDescent="0.25">
      <c r="A230" s="3">
        <v>37437</v>
      </c>
      <c r="B230" s="29" t="e">
        <f>NA()</f>
        <v>#N/A</v>
      </c>
      <c r="C230" s="29" t="e">
        <v>#N/A</v>
      </c>
      <c r="D230" s="50">
        <f>53.6</f>
        <v>53.6</v>
      </c>
      <c r="E230" s="30">
        <v>53.6</v>
      </c>
      <c r="F230" s="29">
        <f>-0.3</f>
        <v>-0.3</v>
      </c>
      <c r="G230" s="31" t="e">
        <v>#N/A</v>
      </c>
      <c r="H230" s="51" t="e">
        <f t="shared" si="16"/>
        <v>#N/A</v>
      </c>
      <c r="I230" s="29">
        <f>-0.5</f>
        <v>-0.5</v>
      </c>
      <c r="J230" s="31">
        <v>77.87</v>
      </c>
      <c r="K230" s="51">
        <f t="shared" si="17"/>
        <v>-4.9833887043189435E-3</v>
      </c>
      <c r="L230" s="29">
        <f>2.6</f>
        <v>2.6</v>
      </c>
      <c r="M230" s="30">
        <v>2.6</v>
      </c>
      <c r="N230" s="29">
        <f>12.5</f>
        <v>12.5</v>
      </c>
      <c r="O230" s="29">
        <v>822108.1</v>
      </c>
      <c r="P230" s="51">
        <f t="shared" si="15"/>
        <v>0.12545457183864145</v>
      </c>
      <c r="Q230" s="29">
        <f>10.7</f>
        <v>10.7</v>
      </c>
      <c r="R230" s="43">
        <v>61.7</v>
      </c>
      <c r="S230" s="32">
        <f t="shared" si="18"/>
        <v>0.10971223021582736</v>
      </c>
      <c r="T230" s="54" t="e">
        <f>VLOOKUP(A230,[1]인포맥스!$A:$I,9,0)</f>
        <v>#N/A</v>
      </c>
      <c r="U230" s="70" t="e">
        <f t="shared" si="19"/>
        <v>#N/A</v>
      </c>
    </row>
    <row r="231" spans="1:21" x14ac:dyDescent="0.25">
      <c r="A231" s="3">
        <v>37407</v>
      </c>
      <c r="B231" s="29" t="e">
        <f>NA()</f>
        <v>#N/A</v>
      </c>
      <c r="C231" s="29" t="e">
        <v>#N/A</v>
      </c>
      <c r="D231" s="50">
        <f>53.1</f>
        <v>53.1</v>
      </c>
      <c r="E231" s="30">
        <v>53.1</v>
      </c>
      <c r="F231" s="29">
        <f>6.5</f>
        <v>6.5</v>
      </c>
      <c r="G231" s="31" t="e">
        <v>#N/A</v>
      </c>
      <c r="H231" s="51" t="e">
        <f t="shared" si="16"/>
        <v>#N/A</v>
      </c>
      <c r="I231" s="29">
        <f>-0.3</f>
        <v>-0.3</v>
      </c>
      <c r="J231" s="31">
        <v>78.37</v>
      </c>
      <c r="K231" s="51">
        <f t="shared" si="17"/>
        <v>-2.6724357342834534E-3</v>
      </c>
      <c r="L231" s="29">
        <f>3</f>
        <v>3</v>
      </c>
      <c r="M231" s="30">
        <v>3</v>
      </c>
      <c r="N231" s="29">
        <f>12.4</f>
        <v>12.4</v>
      </c>
      <c r="O231" s="29">
        <v>812805.7</v>
      </c>
      <c r="P231" s="51">
        <f t="shared" si="15"/>
        <v>0.12365386782091056</v>
      </c>
      <c r="Q231" s="29">
        <f>12.1</f>
        <v>12.1</v>
      </c>
      <c r="R231" s="43">
        <v>62.1</v>
      </c>
      <c r="S231" s="32">
        <f t="shared" si="18"/>
        <v>0.1229656419529838</v>
      </c>
      <c r="T231" s="54" t="e">
        <f>VLOOKUP(A231,[1]인포맥스!$A:$I,9,0)</f>
        <v>#N/A</v>
      </c>
      <c r="U231" s="70" t="e">
        <f t="shared" si="19"/>
        <v>#N/A</v>
      </c>
    </row>
    <row r="232" spans="1:21" x14ac:dyDescent="0.25">
      <c r="A232" s="3">
        <v>37376</v>
      </c>
      <c r="B232" s="29" t="e">
        <f>NA()</f>
        <v>#N/A</v>
      </c>
      <c r="C232" s="29" t="e">
        <v>#N/A</v>
      </c>
      <c r="D232" s="50">
        <f>52.4</f>
        <v>52.4</v>
      </c>
      <c r="E232" s="30">
        <v>52.4</v>
      </c>
      <c r="F232" s="29">
        <f>8.8</f>
        <v>8.8000000000000007</v>
      </c>
      <c r="G232" s="31" t="e">
        <v>#N/A</v>
      </c>
      <c r="H232" s="51" t="e">
        <f t="shared" si="16"/>
        <v>#N/A</v>
      </c>
      <c r="I232" s="29">
        <f>-0.8</f>
        <v>-0.8</v>
      </c>
      <c r="J232" s="31">
        <v>78.040000000000006</v>
      </c>
      <c r="K232" s="51">
        <f t="shared" si="17"/>
        <v>-7.7558804831532029E-3</v>
      </c>
      <c r="L232" s="29">
        <f>2.5</f>
        <v>2.5</v>
      </c>
      <c r="M232" s="30">
        <v>2.5</v>
      </c>
      <c r="N232" s="29">
        <f>12.3</f>
        <v>12.3</v>
      </c>
      <c r="O232" s="29">
        <v>806857.1</v>
      </c>
      <c r="P232" s="51">
        <f t="shared" si="15"/>
        <v>0.12253646907128635</v>
      </c>
      <c r="Q232" s="29">
        <f>12.4</f>
        <v>12.4</v>
      </c>
      <c r="R232" s="43">
        <v>62.1</v>
      </c>
      <c r="S232" s="32">
        <f t="shared" si="18"/>
        <v>0.13528336380255937</v>
      </c>
      <c r="T232" s="54" t="e">
        <f>VLOOKUP(A232,[1]인포맥스!$A:$I,9,0)</f>
        <v>#N/A</v>
      </c>
      <c r="U232" s="70" t="e">
        <f t="shared" si="19"/>
        <v>#N/A</v>
      </c>
    </row>
    <row r="233" spans="1:21" x14ac:dyDescent="0.25">
      <c r="A233" s="3">
        <v>37346</v>
      </c>
      <c r="B233" s="29" t="e">
        <f>NA()</f>
        <v>#N/A</v>
      </c>
      <c r="C233" s="29" t="e">
        <v>#N/A</v>
      </c>
      <c r="D233" s="50">
        <f>52.4</f>
        <v>52.4</v>
      </c>
      <c r="E233" s="30">
        <v>52.4</v>
      </c>
      <c r="F233" s="29">
        <f>-6.2</f>
        <v>-6.2</v>
      </c>
      <c r="G233" s="31" t="e">
        <v>#N/A</v>
      </c>
      <c r="H233" s="51" t="e">
        <f t="shared" si="16"/>
        <v>#N/A</v>
      </c>
      <c r="I233" s="29">
        <f>-1.6</f>
        <v>-1.6</v>
      </c>
      <c r="J233" s="31">
        <v>77.44</v>
      </c>
      <c r="K233" s="51">
        <f t="shared" si="17"/>
        <v>-1.601016518424403E-2</v>
      </c>
      <c r="L233" s="29">
        <f>2.3</f>
        <v>2.2999999999999998</v>
      </c>
      <c r="M233" s="30">
        <v>2.2999999999999998</v>
      </c>
      <c r="N233" s="29">
        <f>8.8</f>
        <v>8.8000000000000007</v>
      </c>
      <c r="O233" s="29">
        <v>797428.3</v>
      </c>
      <c r="P233" s="51">
        <f t="shared" si="15"/>
        <v>0.11086062453672249</v>
      </c>
      <c r="Q233" s="29">
        <f>11.8</f>
        <v>11.8</v>
      </c>
      <c r="R233" s="43">
        <v>61.7</v>
      </c>
      <c r="S233" s="32">
        <f t="shared" si="18"/>
        <v>0.13419117647058831</v>
      </c>
      <c r="T233" s="54" t="e">
        <f>VLOOKUP(A233,[1]인포맥스!$A:$I,9,0)</f>
        <v>#N/A</v>
      </c>
      <c r="U233" s="70" t="e">
        <f t="shared" si="19"/>
        <v>#N/A</v>
      </c>
    </row>
    <row r="234" spans="1:21" x14ac:dyDescent="0.25">
      <c r="A234" s="3">
        <v>37315</v>
      </c>
      <c r="B234" s="29" t="e">
        <f>NA()</f>
        <v>#N/A</v>
      </c>
      <c r="C234" s="29" t="e">
        <v>#N/A</v>
      </c>
      <c r="D234" s="50">
        <f>50.7</f>
        <v>50.7</v>
      </c>
      <c r="E234" s="30">
        <v>50.7</v>
      </c>
      <c r="F234" s="29">
        <f>-17.5</f>
        <v>-17.5</v>
      </c>
      <c r="G234" s="31" t="e">
        <v>#N/A</v>
      </c>
      <c r="H234" s="51" t="e">
        <f t="shared" si="16"/>
        <v>#N/A</v>
      </c>
      <c r="I234" s="29">
        <f>-1.9</f>
        <v>-1.9</v>
      </c>
      <c r="J234" s="31">
        <v>77.040000000000006</v>
      </c>
      <c r="K234" s="51">
        <f t="shared" si="17"/>
        <v>-1.8848700967906137E-2</v>
      </c>
      <c r="L234" s="29">
        <f>2.6</f>
        <v>2.6</v>
      </c>
      <c r="M234" s="30">
        <v>2.6</v>
      </c>
      <c r="N234" s="29">
        <f>8.8</f>
        <v>8.8000000000000007</v>
      </c>
      <c r="O234" s="29">
        <v>779654.9</v>
      </c>
      <c r="P234" s="51">
        <f t="shared" si="15"/>
        <v>8.8016211360595731E-2</v>
      </c>
      <c r="Q234" s="29">
        <f>9.9</f>
        <v>9.9</v>
      </c>
      <c r="R234" s="43">
        <v>60.7</v>
      </c>
      <c r="S234" s="32">
        <f t="shared" si="18"/>
        <v>0.12199630314232904</v>
      </c>
      <c r="T234" s="54" t="e">
        <f>VLOOKUP(A234,[1]인포맥스!$A:$I,9,0)</f>
        <v>#N/A</v>
      </c>
      <c r="U234" s="70" t="e">
        <f t="shared" si="19"/>
        <v>#N/A</v>
      </c>
    </row>
    <row r="235" spans="1:21" x14ac:dyDescent="0.25">
      <c r="A235" s="3">
        <v>37287</v>
      </c>
      <c r="B235" s="29" t="e">
        <f>NA()</f>
        <v>#N/A</v>
      </c>
      <c r="C235" s="29" t="e">
        <v>#N/A</v>
      </c>
      <c r="D235" s="50">
        <f>47.5</f>
        <v>47.5</v>
      </c>
      <c r="E235" s="30">
        <v>47.5</v>
      </c>
      <c r="F235" s="29">
        <f>-10</f>
        <v>-10</v>
      </c>
      <c r="G235" s="31" t="e">
        <v>#N/A</v>
      </c>
      <c r="H235" s="51" t="e">
        <f t="shared" si="16"/>
        <v>#N/A</v>
      </c>
      <c r="I235" s="29">
        <f>-2.6</f>
        <v>-2.6</v>
      </c>
      <c r="J235" s="31">
        <v>76.650000000000006</v>
      </c>
      <c r="K235" s="51">
        <f t="shared" si="17"/>
        <v>-2.5800711743772253E-2</v>
      </c>
      <c r="L235" s="29">
        <f>2.6</f>
        <v>2.6</v>
      </c>
      <c r="M235" s="30">
        <v>2.6</v>
      </c>
      <c r="N235" s="29">
        <f>8.5</f>
        <v>8.5</v>
      </c>
      <c r="O235" s="29">
        <v>772614.7</v>
      </c>
      <c r="P235" s="51">
        <f t="shared" si="15"/>
        <v>8.5334676654103006E-2</v>
      </c>
      <c r="Q235" s="29">
        <f>8</f>
        <v>8</v>
      </c>
      <c r="R235" s="43">
        <v>59.7</v>
      </c>
      <c r="S235" s="32">
        <f t="shared" si="18"/>
        <v>0.10760667903525055</v>
      </c>
      <c r="T235" s="54" t="e">
        <f>VLOOKUP(A235,[1]인포맥스!$A:$I,9,0)</f>
        <v>#N/A</v>
      </c>
      <c r="U235" s="70" t="e">
        <f t="shared" si="19"/>
        <v>#N/A</v>
      </c>
    </row>
    <row r="236" spans="1:21" x14ac:dyDescent="0.25">
      <c r="A236" s="3">
        <v>37256</v>
      </c>
      <c r="B236" s="29" t="e">
        <f>NA()</f>
        <v>#N/A</v>
      </c>
      <c r="C236" s="29" t="e">
        <v>#N/A</v>
      </c>
      <c r="D236" s="50">
        <f>45.3</f>
        <v>45.3</v>
      </c>
      <c r="E236" s="30">
        <v>45.3</v>
      </c>
      <c r="F236" s="29">
        <f>-20.4</f>
        <v>-20.399999999999999</v>
      </c>
      <c r="G236" s="31" t="e">
        <v>#N/A</v>
      </c>
      <c r="H236" s="51" t="e">
        <f t="shared" si="16"/>
        <v>#N/A</v>
      </c>
      <c r="I236" s="29">
        <f>-2.5</f>
        <v>-2.5</v>
      </c>
      <c r="J236" s="31">
        <v>76.47</v>
      </c>
      <c r="K236" s="51">
        <f t="shared" si="17"/>
        <v>-2.5363242416517908E-2</v>
      </c>
      <c r="L236" s="29">
        <f>3.2</f>
        <v>3.2</v>
      </c>
      <c r="M236" s="30">
        <v>3.2</v>
      </c>
      <c r="N236" s="29">
        <f>8.3</f>
        <v>8.3000000000000007</v>
      </c>
      <c r="O236" s="29">
        <v>767051.1</v>
      </c>
      <c r="P236" s="51">
        <f t="shared" si="15"/>
        <v>8.3332827246759542E-2</v>
      </c>
      <c r="Q236" s="29">
        <f>5.7</f>
        <v>5.7</v>
      </c>
      <c r="R236" s="43">
        <v>58.5</v>
      </c>
      <c r="S236" s="32">
        <f t="shared" si="18"/>
        <v>7.3394495412844041E-2</v>
      </c>
      <c r="T236" s="54" t="e">
        <f>VLOOKUP(A236,[1]인포맥스!$A:$I,9,0)</f>
        <v>#N/A</v>
      </c>
      <c r="U236" s="70" t="e">
        <f t="shared" si="19"/>
        <v>#N/A</v>
      </c>
    </row>
    <row r="237" spans="1:21" x14ac:dyDescent="0.25">
      <c r="A237" s="3">
        <v>37225</v>
      </c>
      <c r="B237" s="29" t="e">
        <f>NA()</f>
        <v>#N/A</v>
      </c>
      <c r="C237" s="29" t="e">
        <v>#N/A</v>
      </c>
      <c r="D237" s="50">
        <f>44.1</f>
        <v>44.1</v>
      </c>
      <c r="E237" s="30">
        <v>44.1</v>
      </c>
      <c r="F237" s="29">
        <f>-17.6</f>
        <v>-17.600000000000001</v>
      </c>
      <c r="G237" s="31" t="e">
        <v>#N/A</v>
      </c>
      <c r="H237" s="51" t="e">
        <f t="shared" si="16"/>
        <v>#N/A</v>
      </c>
      <c r="I237" s="29">
        <f>-1.8</f>
        <v>-1.8</v>
      </c>
      <c r="J237" s="31">
        <v>76.94</v>
      </c>
      <c r="K237" s="51">
        <f t="shared" si="17"/>
        <v>-1.8121490556406352E-2</v>
      </c>
      <c r="L237" s="29">
        <f>3.4</f>
        <v>3.4</v>
      </c>
      <c r="M237" s="30">
        <v>3.4</v>
      </c>
      <c r="N237" s="29">
        <f>8.9</f>
        <v>8.9</v>
      </c>
      <c r="O237" s="29">
        <v>766706.8</v>
      </c>
      <c r="P237" s="51">
        <f t="shared" si="15"/>
        <v>8.9208929075753368E-2</v>
      </c>
      <c r="Q237" s="29">
        <f>3.8</f>
        <v>3.8</v>
      </c>
      <c r="R237" s="43">
        <v>57.5</v>
      </c>
      <c r="S237" s="32">
        <f t="shared" si="18"/>
        <v>4.7358834244080175E-2</v>
      </c>
      <c r="T237" s="54" t="e">
        <f>VLOOKUP(A237,[1]인포맥스!$A:$I,9,0)</f>
        <v>#N/A</v>
      </c>
      <c r="U237" s="70" t="e">
        <f t="shared" si="19"/>
        <v>#N/A</v>
      </c>
    </row>
    <row r="238" spans="1:21" x14ac:dyDescent="0.25">
      <c r="A238" s="3">
        <v>37195</v>
      </c>
      <c r="B238" s="29" t="e">
        <f>NA()</f>
        <v>#N/A</v>
      </c>
      <c r="C238" s="29" t="e">
        <v>#N/A</v>
      </c>
      <c r="D238" s="50">
        <f>40.8</f>
        <v>40.799999999999997</v>
      </c>
      <c r="E238" s="30">
        <v>40.799999999999997</v>
      </c>
      <c r="F238" s="29">
        <f>-20.7</f>
        <v>-20.7</v>
      </c>
      <c r="G238" s="31" t="e">
        <v>#N/A</v>
      </c>
      <c r="H238" s="51" t="e">
        <f t="shared" si="16"/>
        <v>#N/A</v>
      </c>
      <c r="I238" s="29">
        <f>-1.5</f>
        <v>-1.5</v>
      </c>
      <c r="J238" s="31">
        <v>77.25</v>
      </c>
      <c r="K238" s="51">
        <f t="shared" si="17"/>
        <v>-1.4668367346938847E-2</v>
      </c>
      <c r="L238" s="29">
        <f>3.4</f>
        <v>3.4</v>
      </c>
      <c r="M238" s="30">
        <v>3.4</v>
      </c>
      <c r="N238" s="29">
        <f>9.7</f>
        <v>9.6999999999999993</v>
      </c>
      <c r="O238" s="29">
        <v>764156.1</v>
      </c>
      <c r="P238" s="51">
        <f t="shared" si="15"/>
        <v>9.6579914874564798E-2</v>
      </c>
      <c r="Q238" s="29">
        <f>2.2</f>
        <v>2.2000000000000002</v>
      </c>
      <c r="R238" s="43">
        <v>56.6</v>
      </c>
      <c r="S238" s="32">
        <f t="shared" si="18"/>
        <v>1.071428571428574E-2</v>
      </c>
      <c r="T238" s="54" t="e">
        <f>VLOOKUP(A238,[1]인포맥스!$A:$I,9,0)</f>
        <v>#N/A</v>
      </c>
      <c r="U238" s="70" t="e">
        <f t="shared" si="19"/>
        <v>#N/A</v>
      </c>
    </row>
    <row r="239" spans="1:21" x14ac:dyDescent="0.25">
      <c r="A239" s="3">
        <v>37164</v>
      </c>
      <c r="B239" s="29" t="e">
        <f>NA()</f>
        <v>#N/A</v>
      </c>
      <c r="C239" s="29" t="e">
        <v>#N/A</v>
      </c>
      <c r="D239" s="50">
        <f>46.2</f>
        <v>46.2</v>
      </c>
      <c r="E239" s="30">
        <v>46.2</v>
      </c>
      <c r="F239" s="29">
        <f>-17.7</f>
        <v>-17.7</v>
      </c>
      <c r="G239" s="31" t="e">
        <v>#N/A</v>
      </c>
      <c r="H239" s="51" t="e">
        <f t="shared" si="16"/>
        <v>#N/A</v>
      </c>
      <c r="I239" s="29">
        <f>-1.1</f>
        <v>-1.1000000000000001</v>
      </c>
      <c r="J239" s="31">
        <v>77.62</v>
      </c>
      <c r="K239" s="51">
        <f t="shared" si="17"/>
        <v>-1.0958205912334346E-2</v>
      </c>
      <c r="L239" s="29">
        <f>3.3</f>
        <v>3.3</v>
      </c>
      <c r="M239" s="30">
        <v>3.3</v>
      </c>
      <c r="N239" s="29">
        <f>8.4</f>
        <v>8.4</v>
      </c>
      <c r="O239" s="29">
        <v>761433.1</v>
      </c>
      <c r="P239" s="51">
        <f t="shared" si="15"/>
        <v>8.4458465864187093E-2</v>
      </c>
      <c r="Q239" s="29">
        <f>1.3</f>
        <v>1.3</v>
      </c>
      <c r="R239" s="43">
        <v>56.2</v>
      </c>
      <c r="S239" s="32">
        <f t="shared" si="18"/>
        <v>-7.0671378091872539E-3</v>
      </c>
      <c r="T239" s="54" t="e">
        <f>VLOOKUP(A239,[1]인포맥스!$A:$I,9,0)</f>
        <v>#N/A</v>
      </c>
      <c r="U239" s="70" t="e">
        <f t="shared" si="19"/>
        <v>#N/A</v>
      </c>
    </row>
    <row r="240" spans="1:21" x14ac:dyDescent="0.25">
      <c r="A240" s="3">
        <v>37134</v>
      </c>
      <c r="B240" s="29" t="e">
        <f>NA()</f>
        <v>#N/A</v>
      </c>
      <c r="C240" s="29" t="e">
        <v>#N/A</v>
      </c>
      <c r="D240" s="50">
        <f>46.3</f>
        <v>46.3</v>
      </c>
      <c r="E240" s="30">
        <v>46.3</v>
      </c>
      <c r="F240" s="29">
        <f>-20.4</f>
        <v>-20.399999999999999</v>
      </c>
      <c r="G240" s="31" t="e">
        <v>#N/A</v>
      </c>
      <c r="H240" s="51" t="e">
        <f t="shared" si="16"/>
        <v>#N/A</v>
      </c>
      <c r="I240" s="29">
        <f>-0.5</f>
        <v>-0.5</v>
      </c>
      <c r="J240" s="31">
        <v>77.83</v>
      </c>
      <c r="K240" s="51">
        <f t="shared" si="17"/>
        <v>-4.9859371004858169E-3</v>
      </c>
      <c r="L240" s="29">
        <f>4.7</f>
        <v>4.7</v>
      </c>
      <c r="M240" s="30">
        <v>4.7</v>
      </c>
      <c r="N240" s="29">
        <f>8.1</f>
        <v>8.1</v>
      </c>
      <c r="O240" s="29">
        <v>750878</v>
      </c>
      <c r="P240" s="51">
        <f t="shared" si="15"/>
        <v>8.124881921692767E-2</v>
      </c>
      <c r="Q240" s="29">
        <f>0.5</f>
        <v>0.5</v>
      </c>
      <c r="R240" s="43">
        <v>55.9</v>
      </c>
      <c r="S240" s="32">
        <f t="shared" si="18"/>
        <v>-1.5845070422535187E-2</v>
      </c>
      <c r="T240" s="54" t="e">
        <f>VLOOKUP(A240,[1]인포맥스!$A:$I,9,0)</f>
        <v>#N/A</v>
      </c>
      <c r="U240" s="70" t="e">
        <f t="shared" si="19"/>
        <v>#N/A</v>
      </c>
    </row>
    <row r="241" spans="1:21" x14ac:dyDescent="0.25">
      <c r="A241" s="3">
        <v>37103</v>
      </c>
      <c r="B241" s="29" t="e">
        <f>NA()</f>
        <v>#N/A</v>
      </c>
      <c r="C241" s="29" t="e">
        <v>#N/A</v>
      </c>
      <c r="D241" s="50">
        <f>43.5</f>
        <v>43.5</v>
      </c>
      <c r="E241" s="30">
        <v>43.5</v>
      </c>
      <c r="F241" s="29">
        <f>-21.2</f>
        <v>-21.2</v>
      </c>
      <c r="G241" s="31" t="e">
        <v>#N/A</v>
      </c>
      <c r="H241" s="51" t="e">
        <f t="shared" si="16"/>
        <v>#N/A</v>
      </c>
      <c r="I241" s="29">
        <f>0</f>
        <v>0</v>
      </c>
      <c r="J241" s="31">
        <v>78.209999999999994</v>
      </c>
      <c r="K241" s="51">
        <f t="shared" si="17"/>
        <v>-1.2784454103816309E-4</v>
      </c>
      <c r="L241" s="29">
        <f>4.8</f>
        <v>4.8</v>
      </c>
      <c r="M241" s="30">
        <v>4.8</v>
      </c>
      <c r="N241" s="29">
        <f>7.9</f>
        <v>7.9</v>
      </c>
      <c r="O241" s="29">
        <v>742913</v>
      </c>
      <c r="P241" s="51">
        <f t="shared" si="15"/>
        <v>7.8893486220132494E-2</v>
      </c>
      <c r="Q241" s="29">
        <f>0.1</f>
        <v>0.1</v>
      </c>
      <c r="R241" s="43">
        <v>55.8</v>
      </c>
      <c r="S241" s="32">
        <f t="shared" si="18"/>
        <v>-8.8809946714031984E-3</v>
      </c>
      <c r="T241" s="54" t="e">
        <f>VLOOKUP(A241,[1]인포맥스!$A:$I,9,0)</f>
        <v>#N/A</v>
      </c>
      <c r="U241" s="70" t="e">
        <f t="shared" si="19"/>
        <v>#N/A</v>
      </c>
    </row>
    <row r="242" spans="1:21" x14ac:dyDescent="0.25">
      <c r="A242" s="3">
        <v>37072</v>
      </c>
      <c r="B242" s="29" t="e">
        <f>NA()</f>
        <v>#N/A</v>
      </c>
      <c r="C242" s="29" t="e">
        <v>#N/A</v>
      </c>
      <c r="D242" s="50">
        <f>43.2</f>
        <v>43.2</v>
      </c>
      <c r="E242" s="30">
        <v>43.2</v>
      </c>
      <c r="F242" s="29">
        <f>-15.2</f>
        <v>-15.2</v>
      </c>
      <c r="G242" s="31" t="e">
        <v>#N/A</v>
      </c>
      <c r="H242" s="51" t="e">
        <f t="shared" si="16"/>
        <v>#N/A</v>
      </c>
      <c r="I242" s="29">
        <f>0.2</f>
        <v>0.2</v>
      </c>
      <c r="J242" s="31">
        <v>78.260000000000005</v>
      </c>
      <c r="K242" s="51">
        <f t="shared" si="17"/>
        <v>1.5357051446122927E-3</v>
      </c>
      <c r="L242" s="29">
        <f>5</f>
        <v>5</v>
      </c>
      <c r="M242" s="30">
        <v>5</v>
      </c>
      <c r="N242" s="29">
        <f>6.3</f>
        <v>6.3</v>
      </c>
      <c r="O242" s="29">
        <v>730467.6</v>
      </c>
      <c r="P242" s="51">
        <f t="shared" si="15"/>
        <v>6.3312940983295748E-2</v>
      </c>
      <c r="Q242" s="29">
        <f>-0.4</f>
        <v>-0.4</v>
      </c>
      <c r="R242" s="43">
        <v>55.6</v>
      </c>
      <c r="S242" s="32">
        <f t="shared" si="18"/>
        <v>-8.9126559714795012E-3</v>
      </c>
      <c r="T242" s="54" t="e">
        <f>VLOOKUP(A242,[1]인포맥스!$A:$I,9,0)</f>
        <v>#N/A</v>
      </c>
      <c r="U242" s="70" t="e">
        <f t="shared" si="19"/>
        <v>#N/A</v>
      </c>
    </row>
    <row r="243" spans="1:21" x14ac:dyDescent="0.25">
      <c r="A243" s="3">
        <v>37042</v>
      </c>
      <c r="B243" s="29" t="e">
        <f>NA()</f>
        <v>#N/A</v>
      </c>
      <c r="C243" s="29" t="e">
        <v>#N/A</v>
      </c>
      <c r="D243" s="50">
        <f>41.3</f>
        <v>41.3</v>
      </c>
      <c r="E243" s="30">
        <v>41.3</v>
      </c>
      <c r="F243" s="29">
        <f>-9.1</f>
        <v>-9.1</v>
      </c>
      <c r="G243" s="31" t="e">
        <v>#N/A</v>
      </c>
      <c r="H243" s="51" t="e">
        <f t="shared" si="16"/>
        <v>#N/A</v>
      </c>
      <c r="I243" s="29">
        <f>0.8</f>
        <v>0.8</v>
      </c>
      <c r="J243" s="31">
        <v>78.58</v>
      </c>
      <c r="K243" s="51">
        <f t="shared" si="17"/>
        <v>8.0821039127645343E-3</v>
      </c>
      <c r="L243" s="29">
        <f>5.3</f>
        <v>5.3</v>
      </c>
      <c r="M243" s="30">
        <v>5.3</v>
      </c>
      <c r="N243" s="29">
        <f>5.3</f>
        <v>5.3</v>
      </c>
      <c r="O243" s="29">
        <v>723359.5</v>
      </c>
      <c r="P243" s="51">
        <f t="shared" si="15"/>
        <v>5.31781364051244E-2</v>
      </c>
      <c r="Q243" s="29">
        <f>-1.1</f>
        <v>-1.1000000000000001</v>
      </c>
      <c r="R243" s="43">
        <v>55.3</v>
      </c>
      <c r="S243" s="32">
        <f t="shared" si="18"/>
        <v>-8.9605734767025103E-3</v>
      </c>
      <c r="T243" s="54" t="e">
        <f>VLOOKUP(A243,[1]인포맥스!$A:$I,9,0)</f>
        <v>#N/A</v>
      </c>
      <c r="U243" s="70" t="e">
        <f t="shared" si="19"/>
        <v>#N/A</v>
      </c>
    </row>
    <row r="244" spans="1:21" x14ac:dyDescent="0.25">
      <c r="A244" s="3">
        <v>37011</v>
      </c>
      <c r="B244" s="29" t="e">
        <f>NA()</f>
        <v>#N/A</v>
      </c>
      <c r="C244" s="29" t="e">
        <v>#N/A</v>
      </c>
      <c r="D244" s="50">
        <f>42.7</f>
        <v>42.7</v>
      </c>
      <c r="E244" s="30">
        <v>42.7</v>
      </c>
      <c r="F244" s="29">
        <f>-10.4</f>
        <v>-10.4</v>
      </c>
      <c r="G244" s="31" t="e">
        <v>#N/A</v>
      </c>
      <c r="H244" s="51" t="e">
        <f t="shared" si="16"/>
        <v>#N/A</v>
      </c>
      <c r="I244" s="29">
        <f>0.7</f>
        <v>0.7</v>
      </c>
      <c r="J244" s="31">
        <v>78.650000000000006</v>
      </c>
      <c r="K244" s="51">
        <f t="shared" si="17"/>
        <v>6.5267468646020618E-3</v>
      </c>
      <c r="L244" s="29">
        <f>4.8</f>
        <v>4.8</v>
      </c>
      <c r="M244" s="30">
        <v>4.8</v>
      </c>
      <c r="N244" s="29">
        <f>4.3</f>
        <v>4.3</v>
      </c>
      <c r="O244" s="29">
        <v>718780.3</v>
      </c>
      <c r="P244" s="51">
        <f t="shared" si="15"/>
        <v>4.3405433057058615E-2</v>
      </c>
      <c r="Q244" s="29">
        <f>-1.9</f>
        <v>-1.9</v>
      </c>
      <c r="R244" s="43">
        <v>54.7</v>
      </c>
      <c r="S244" s="32">
        <f t="shared" si="18"/>
        <v>-1.9713261648745418E-2</v>
      </c>
      <c r="T244" s="54" t="e">
        <f>VLOOKUP(A244,[1]인포맥스!$A:$I,9,0)</f>
        <v>#N/A</v>
      </c>
      <c r="U244" s="70" t="e">
        <f t="shared" si="19"/>
        <v>#N/A</v>
      </c>
    </row>
    <row r="245" spans="1:21" x14ac:dyDescent="0.25">
      <c r="A245" s="3">
        <v>36981</v>
      </c>
      <c r="B245" s="29" t="e">
        <f>NA()</f>
        <v>#N/A</v>
      </c>
      <c r="C245" s="29" t="e">
        <v>#N/A</v>
      </c>
      <c r="D245" s="50">
        <f>43.1</f>
        <v>43.1</v>
      </c>
      <c r="E245" s="30">
        <v>43.1</v>
      </c>
      <c r="F245" s="29">
        <f>-2.1</f>
        <v>-2.1</v>
      </c>
      <c r="G245" s="31" t="e">
        <v>#N/A</v>
      </c>
      <c r="H245" s="51" t="e">
        <f t="shared" si="16"/>
        <v>#N/A</v>
      </c>
      <c r="I245" s="29">
        <f>0.2</f>
        <v>0.2</v>
      </c>
      <c r="J245" s="31">
        <v>78.7</v>
      </c>
      <c r="K245" s="51">
        <f t="shared" si="17"/>
        <v>2.2924095771778763E-3</v>
      </c>
      <c r="L245" s="29">
        <f>4</f>
        <v>4</v>
      </c>
      <c r="M245" s="30">
        <v>4</v>
      </c>
      <c r="N245" s="29">
        <f>5.6</f>
        <v>5.6</v>
      </c>
      <c r="O245" s="29">
        <v>717847.3</v>
      </c>
      <c r="P245" s="51">
        <f t="shared" si="15"/>
        <v>4.8404071360387713E-2</v>
      </c>
      <c r="Q245" s="29">
        <f>-2.3</f>
        <v>-2.2999999999999998</v>
      </c>
      <c r="R245" s="43">
        <v>54.4</v>
      </c>
      <c r="S245" s="32">
        <f t="shared" si="18"/>
        <v>-2.6833631484794278E-2</v>
      </c>
      <c r="T245" s="54" t="e">
        <f>VLOOKUP(A245,[1]인포맥스!$A:$I,9,0)</f>
        <v>#N/A</v>
      </c>
      <c r="U245" s="70" t="e">
        <f t="shared" si="19"/>
        <v>#N/A</v>
      </c>
    </row>
    <row r="246" spans="1:21" x14ac:dyDescent="0.25">
      <c r="A246" s="3">
        <v>36950</v>
      </c>
      <c r="B246" s="29" t="e">
        <f>NA()</f>
        <v>#N/A</v>
      </c>
      <c r="C246" s="29" t="e">
        <v>#N/A</v>
      </c>
      <c r="D246" s="50">
        <f>42.1</f>
        <v>42.1</v>
      </c>
      <c r="E246" s="30">
        <v>42.1</v>
      </c>
      <c r="F246" s="29">
        <f>5.3</f>
        <v>5.3</v>
      </c>
      <c r="G246" s="31" t="e">
        <v>#N/A</v>
      </c>
      <c r="H246" s="51" t="e">
        <f t="shared" si="16"/>
        <v>#N/A</v>
      </c>
      <c r="I246" s="29">
        <f>-0.1</f>
        <v>-0.1</v>
      </c>
      <c r="J246" s="31">
        <v>78.52</v>
      </c>
      <c r="K246" s="51">
        <f t="shared" si="17"/>
        <v>-6.3637520682190607E-4</v>
      </c>
      <c r="L246" s="29">
        <f>3.6</f>
        <v>3.6</v>
      </c>
      <c r="M246" s="30">
        <v>3.6</v>
      </c>
      <c r="N246" s="29">
        <f>5.6</f>
        <v>5.6</v>
      </c>
      <c r="O246" s="29">
        <v>716583.9</v>
      </c>
      <c r="P246" s="51">
        <f t="shared" si="15"/>
        <v>5.6315748509243486E-2</v>
      </c>
      <c r="Q246" s="29">
        <f>-2.4</f>
        <v>-2.4</v>
      </c>
      <c r="R246" s="43">
        <v>54.1</v>
      </c>
      <c r="S246" s="32">
        <f t="shared" si="18"/>
        <v>-2.6978417266187049E-2</v>
      </c>
      <c r="T246" s="54" t="e">
        <f>VLOOKUP(A246,[1]인포맥스!$A:$I,9,0)</f>
        <v>#N/A</v>
      </c>
      <c r="U246" s="70" t="e">
        <f t="shared" si="19"/>
        <v>#N/A</v>
      </c>
    </row>
    <row r="247" spans="1:21" x14ac:dyDescent="0.25">
      <c r="A247" s="3">
        <v>36922</v>
      </c>
      <c r="B247" s="29" t="e">
        <f>NA()</f>
        <v>#N/A</v>
      </c>
      <c r="C247" s="29" t="e">
        <v>#N/A</v>
      </c>
      <c r="D247" s="50">
        <f>42.3</f>
        <v>42.3</v>
      </c>
      <c r="E247" s="30">
        <v>42.3</v>
      </c>
      <c r="F247" s="29">
        <f>4</f>
        <v>4</v>
      </c>
      <c r="G247" s="31" t="e">
        <v>#N/A</v>
      </c>
      <c r="H247" s="51" t="e">
        <f t="shared" si="16"/>
        <v>#N/A</v>
      </c>
      <c r="I247" s="29">
        <f>-0.1</f>
        <v>-0.1</v>
      </c>
      <c r="J247" s="31">
        <v>78.680000000000007</v>
      </c>
      <c r="K247" s="51">
        <f t="shared" si="17"/>
        <v>-1.1425669671193248E-3</v>
      </c>
      <c r="L247" s="29">
        <f>3.4</f>
        <v>3.4</v>
      </c>
      <c r="M247" s="30">
        <v>3.4</v>
      </c>
      <c r="N247" s="29">
        <f>5.2</f>
        <v>5.2</v>
      </c>
      <c r="O247" s="29">
        <v>711867.7</v>
      </c>
      <c r="P247" s="51">
        <f t="shared" si="15"/>
        <v>5.1563361155209174E-2</v>
      </c>
      <c r="Q247" s="29">
        <f>-2.3</f>
        <v>-2.2999999999999998</v>
      </c>
      <c r="R247" s="43">
        <v>53.9</v>
      </c>
      <c r="S247" s="32">
        <f t="shared" si="18"/>
        <v>-2.7075812274368231E-2</v>
      </c>
      <c r="T247" s="54" t="e">
        <f>VLOOKUP(A247,[1]인포맥스!$A:$I,9,0)</f>
        <v>#N/A</v>
      </c>
      <c r="U247" s="70" t="e">
        <f t="shared" si="19"/>
        <v>#N/A</v>
      </c>
    </row>
    <row r="248" spans="1:21" x14ac:dyDescent="0.25">
      <c r="A248" s="3">
        <v>36891</v>
      </c>
      <c r="B248" s="29" t="e">
        <f>NA()</f>
        <v>#N/A</v>
      </c>
      <c r="C248" s="29" t="e">
        <v>#N/A</v>
      </c>
      <c r="D248" s="50">
        <f>43.9</f>
        <v>43.9</v>
      </c>
      <c r="E248" s="30">
        <v>43.9</v>
      </c>
      <c r="F248" s="29">
        <f>0.1</f>
        <v>0.1</v>
      </c>
      <c r="G248" s="31" t="e">
        <v>#N/A</v>
      </c>
      <c r="H248" s="51" t="e">
        <f t="shared" si="16"/>
        <v>#N/A</v>
      </c>
      <c r="I248" s="29">
        <f>0.6</f>
        <v>0.6</v>
      </c>
      <c r="J248" s="31">
        <v>78.459999999999994</v>
      </c>
      <c r="K248" s="51">
        <f t="shared" si="17"/>
        <v>6.4135454079014883E-3</v>
      </c>
      <c r="L248" s="29">
        <f>2.8</f>
        <v>2.8</v>
      </c>
      <c r="M248" s="30">
        <v>2.8</v>
      </c>
      <c r="N248" s="29">
        <f>3.8</f>
        <v>3.8</v>
      </c>
      <c r="O248" s="29">
        <v>708047.5</v>
      </c>
      <c r="P248" s="51">
        <f t="shared" si="15"/>
        <v>3.7692227649711502E-2</v>
      </c>
      <c r="Q248" s="29">
        <f>-0.8</f>
        <v>-0.8</v>
      </c>
      <c r="R248" s="43">
        <v>54.5</v>
      </c>
      <c r="S248" s="32">
        <f t="shared" si="18"/>
        <v>-1.8315018315018575E-3</v>
      </c>
      <c r="T248" s="54" t="e">
        <f>VLOOKUP(A248,[1]인포맥스!$A:$I,9,0)</f>
        <v>#N/A</v>
      </c>
      <c r="U248" s="70" t="e">
        <f t="shared" si="19"/>
        <v>#N/A</v>
      </c>
    </row>
    <row r="249" spans="1:21" x14ac:dyDescent="0.25">
      <c r="A249" s="3">
        <v>36860</v>
      </c>
      <c r="B249" s="29" t="e">
        <f>NA()</f>
        <v>#N/A</v>
      </c>
      <c r="C249" s="29" t="e">
        <v>#N/A</v>
      </c>
      <c r="D249" s="50">
        <f>48.5</f>
        <v>48.5</v>
      </c>
      <c r="E249" s="30">
        <v>48.5</v>
      </c>
      <c r="F249" s="29">
        <f>5.6</f>
        <v>5.6</v>
      </c>
      <c r="G249" s="31" t="e">
        <v>#N/A</v>
      </c>
      <c r="H249" s="51" t="e">
        <f t="shared" si="16"/>
        <v>#N/A</v>
      </c>
      <c r="I249" s="29">
        <f>0.3</f>
        <v>0.3</v>
      </c>
      <c r="J249" s="31">
        <v>78.36</v>
      </c>
      <c r="K249" s="51">
        <f t="shared" si="17"/>
        <v>2.6871401151630676E-3</v>
      </c>
      <c r="L249" s="29">
        <f>2.2</f>
        <v>2.2000000000000002</v>
      </c>
      <c r="M249" s="30">
        <v>2.2000000000000002</v>
      </c>
      <c r="N249" s="29">
        <f>3.1</f>
        <v>3.1</v>
      </c>
      <c r="O249" s="29">
        <v>703911.6</v>
      </c>
      <c r="P249" s="51">
        <f t="shared" si="15"/>
        <v>3.0722008942050627E-2</v>
      </c>
      <c r="Q249" s="29">
        <f>0.6</f>
        <v>0.6</v>
      </c>
      <c r="R249" s="43">
        <v>54.9</v>
      </c>
      <c r="S249" s="32">
        <f t="shared" si="18"/>
        <v>9.1911764705882356E-3</v>
      </c>
      <c r="T249" s="54" t="e">
        <f>VLOOKUP(A249,[1]인포맥스!$A:$I,9,0)</f>
        <v>#N/A</v>
      </c>
      <c r="U249" s="70" t="e">
        <f t="shared" si="19"/>
        <v>#N/A</v>
      </c>
    </row>
    <row r="250" spans="1:21" x14ac:dyDescent="0.25">
      <c r="A250" s="3">
        <v>36830</v>
      </c>
      <c r="B250" s="29" t="e">
        <f>NA()</f>
        <v>#N/A</v>
      </c>
      <c r="C250" s="29" t="e">
        <v>#N/A</v>
      </c>
      <c r="D250" s="50">
        <f>48.7</f>
        <v>48.7</v>
      </c>
      <c r="E250" s="30">
        <v>48.7</v>
      </c>
      <c r="F250" s="29">
        <f>13.4</f>
        <v>13.4</v>
      </c>
      <c r="G250" s="31" t="e">
        <v>#N/A</v>
      </c>
      <c r="H250" s="51" t="e">
        <f t="shared" si="16"/>
        <v>#N/A</v>
      </c>
      <c r="I250" s="29">
        <f>0.9</f>
        <v>0.9</v>
      </c>
      <c r="J250" s="31">
        <v>78.400000000000006</v>
      </c>
      <c r="K250" s="51">
        <f t="shared" si="17"/>
        <v>9.1388853134252539E-3</v>
      </c>
      <c r="L250" s="29">
        <f>2.6</f>
        <v>2.6</v>
      </c>
      <c r="M250" s="30">
        <v>2.6</v>
      </c>
      <c r="N250" s="29">
        <f>2.6</f>
        <v>2.6</v>
      </c>
      <c r="O250" s="29">
        <v>696854</v>
      </c>
      <c r="P250" s="51">
        <f t="shared" si="15"/>
        <v>2.5862600710540255E-2</v>
      </c>
      <c r="Q250" s="29">
        <f>3.3</f>
        <v>3.3</v>
      </c>
      <c r="R250" s="43">
        <v>56</v>
      </c>
      <c r="S250" s="32">
        <f t="shared" si="18"/>
        <v>3.7037037037037035E-2</v>
      </c>
      <c r="T250" s="54" t="e">
        <f>VLOOKUP(A250,[1]인포맥스!$A:$I,9,0)</f>
        <v>#N/A</v>
      </c>
      <c r="U250" s="70" t="e">
        <f t="shared" si="19"/>
        <v>#N/A</v>
      </c>
    </row>
    <row r="251" spans="1:21" x14ac:dyDescent="0.25">
      <c r="A251" s="3">
        <v>36799</v>
      </c>
      <c r="B251" s="29" t="e">
        <f>NA()</f>
        <v>#N/A</v>
      </c>
      <c r="C251" s="29" t="e">
        <v>#N/A</v>
      </c>
      <c r="D251" s="50">
        <f>49.7</f>
        <v>49.7</v>
      </c>
      <c r="E251" s="30">
        <v>49.7</v>
      </c>
      <c r="F251" s="29">
        <f>26.5</f>
        <v>26.5</v>
      </c>
      <c r="G251" s="31" t="e">
        <v>#N/A</v>
      </c>
      <c r="H251" s="51" t="e">
        <f t="shared" si="16"/>
        <v>#N/A</v>
      </c>
      <c r="I251" s="29">
        <f>2.1</f>
        <v>2.1</v>
      </c>
      <c r="J251" s="31">
        <v>78.48</v>
      </c>
      <c r="K251" s="51">
        <f t="shared" si="17"/>
        <v>2.0678891923527162E-2</v>
      </c>
      <c r="L251" s="29">
        <f>3.5</f>
        <v>3.5</v>
      </c>
      <c r="M251" s="30">
        <v>3.5</v>
      </c>
      <c r="N251" s="29">
        <f>3.8</f>
        <v>3.8</v>
      </c>
      <c r="O251" s="29">
        <v>702132.1</v>
      </c>
      <c r="P251" s="51">
        <f t="shared" si="15"/>
        <v>3.7817487275085666E-2</v>
      </c>
      <c r="Q251" s="29">
        <f>5.1</f>
        <v>5.0999999999999996</v>
      </c>
      <c r="R251" s="43">
        <v>56.6</v>
      </c>
      <c r="S251" s="32">
        <f t="shared" si="18"/>
        <v>5.0092764378478719E-2</v>
      </c>
      <c r="T251" s="54" t="e">
        <f>VLOOKUP(A251,[1]인포맥스!$A:$I,9,0)</f>
        <v>#N/A</v>
      </c>
      <c r="U251" s="70" t="e">
        <f t="shared" si="19"/>
        <v>#N/A</v>
      </c>
    </row>
    <row r="252" spans="1:21" x14ac:dyDescent="0.25">
      <c r="A252" s="3">
        <v>36769</v>
      </c>
      <c r="B252" s="29" t="e">
        <f>NA()</f>
        <v>#N/A</v>
      </c>
      <c r="C252" s="29" t="e">
        <v>#N/A</v>
      </c>
      <c r="D252" s="50">
        <f>49.9</f>
        <v>49.9</v>
      </c>
      <c r="E252" s="30">
        <v>49.9</v>
      </c>
      <c r="F252" s="29">
        <f>30.1</f>
        <v>30.1</v>
      </c>
      <c r="G252" s="31" t="e">
        <v>#N/A</v>
      </c>
      <c r="H252" s="51" t="e">
        <f t="shared" si="16"/>
        <v>#N/A</v>
      </c>
      <c r="I252" s="29">
        <f>2.2</f>
        <v>2.2000000000000002</v>
      </c>
      <c r="J252" s="31">
        <v>78.22</v>
      </c>
      <c r="K252" s="51">
        <f t="shared" si="17"/>
        <v>2.2216414009409342E-2</v>
      </c>
      <c r="L252" s="29">
        <f>2.4</f>
        <v>2.4</v>
      </c>
      <c r="M252" s="30">
        <v>2.4</v>
      </c>
      <c r="N252" s="29">
        <f>1.9</f>
        <v>1.9</v>
      </c>
      <c r="O252" s="29">
        <v>694454.4</v>
      </c>
      <c r="P252" s="51">
        <f t="shared" si="15"/>
        <v>1.8666809832122471E-2</v>
      </c>
      <c r="Q252" s="29">
        <f>6.5</f>
        <v>6.5</v>
      </c>
      <c r="R252" s="43">
        <v>56.8</v>
      </c>
      <c r="S252" s="32">
        <f t="shared" si="18"/>
        <v>5.9701492537313348E-2</v>
      </c>
      <c r="T252" s="54" t="e">
        <f>VLOOKUP(A252,[1]인포맥스!$A:$I,9,0)</f>
        <v>#N/A</v>
      </c>
      <c r="U252" s="70" t="e">
        <f t="shared" si="19"/>
        <v>#N/A</v>
      </c>
    </row>
    <row r="253" spans="1:21" x14ac:dyDescent="0.25">
      <c r="A253" s="3">
        <v>36738</v>
      </c>
      <c r="B253" s="29" t="e">
        <f>NA()</f>
        <v>#N/A</v>
      </c>
      <c r="C253" s="29" t="e">
        <v>#N/A</v>
      </c>
      <c r="D253" s="50">
        <f>52.5</f>
        <v>52.5</v>
      </c>
      <c r="E253" s="30">
        <v>52.5</v>
      </c>
      <c r="F253" s="29">
        <f>23</f>
        <v>23</v>
      </c>
      <c r="G253" s="31" t="e">
        <v>#N/A</v>
      </c>
      <c r="H253" s="51" t="e">
        <f t="shared" si="16"/>
        <v>#N/A</v>
      </c>
      <c r="I253" s="29">
        <f>2.9</f>
        <v>2.9</v>
      </c>
      <c r="J253" s="31">
        <v>78.22</v>
      </c>
      <c r="K253" s="51">
        <f t="shared" si="17"/>
        <v>2.8804419308167798E-2</v>
      </c>
      <c r="L253" s="29">
        <f>3</f>
        <v>3</v>
      </c>
      <c r="M253" s="30">
        <v>3</v>
      </c>
      <c r="N253" s="29">
        <f>0.7</f>
        <v>0.7</v>
      </c>
      <c r="O253" s="29">
        <v>688587.9</v>
      </c>
      <c r="P253" s="51">
        <f t="shared" si="15"/>
        <v>6.9151691964526602E-3</v>
      </c>
      <c r="Q253" s="29">
        <f>6.7</f>
        <v>6.7</v>
      </c>
      <c r="R253" s="43">
        <v>56.3</v>
      </c>
      <c r="S253" s="32">
        <f t="shared" si="18"/>
        <v>6.0263653483992388E-2</v>
      </c>
      <c r="T253" s="54" t="e">
        <f>VLOOKUP(A253,[1]인포맥스!$A:$I,9,0)</f>
        <v>#N/A</v>
      </c>
      <c r="U253" s="70" t="e">
        <f t="shared" si="19"/>
        <v>#N/A</v>
      </c>
    </row>
    <row r="254" spans="1:21" x14ac:dyDescent="0.25">
      <c r="A254" s="3">
        <v>36707</v>
      </c>
      <c r="B254" s="29" t="e">
        <f>NA()</f>
        <v>#N/A</v>
      </c>
      <c r="C254" s="29" t="e">
        <v>#N/A</v>
      </c>
      <c r="D254" s="50">
        <f>51.4</f>
        <v>51.4</v>
      </c>
      <c r="E254" s="30">
        <v>51.4</v>
      </c>
      <c r="F254" s="29">
        <f>19</f>
        <v>19</v>
      </c>
      <c r="G254" s="31" t="e">
        <v>#N/A</v>
      </c>
      <c r="H254" s="51" t="e">
        <f t="shared" si="16"/>
        <v>#N/A</v>
      </c>
      <c r="I254" s="29">
        <f>2.6</f>
        <v>2.6</v>
      </c>
      <c r="J254" s="31">
        <v>78.14</v>
      </c>
      <c r="K254" s="51">
        <f t="shared" si="17"/>
        <v>2.6132632961260602E-2</v>
      </c>
      <c r="L254" s="29">
        <f>2.2</f>
        <v>2.2000000000000002</v>
      </c>
      <c r="M254" s="30">
        <v>2.2000000000000002</v>
      </c>
      <c r="N254" s="29">
        <f>0.6</f>
        <v>0.6</v>
      </c>
      <c r="O254" s="29">
        <v>686973.3</v>
      </c>
      <c r="P254" s="51">
        <f t="shared" si="15"/>
        <v>6.2784253576786053E-3</v>
      </c>
      <c r="Q254" s="29">
        <f>7.6</f>
        <v>7.6</v>
      </c>
      <c r="R254" s="43">
        <v>56.1</v>
      </c>
      <c r="S254" s="32">
        <f t="shared" si="18"/>
        <v>7.4712643678160884E-2</v>
      </c>
      <c r="T254" s="54" t="e">
        <f>VLOOKUP(A254,[1]인포맥스!$A:$I,9,0)</f>
        <v>#N/A</v>
      </c>
      <c r="U254" s="70" t="e">
        <f t="shared" si="19"/>
        <v>#N/A</v>
      </c>
    </row>
    <row r="255" spans="1:21" x14ac:dyDescent="0.25">
      <c r="A255" s="3">
        <v>36677</v>
      </c>
      <c r="B255" s="29" t="e">
        <f>NA()</f>
        <v>#N/A</v>
      </c>
      <c r="C255" s="29" t="e">
        <v>#N/A</v>
      </c>
      <c r="D255" s="50">
        <f>53.2</f>
        <v>53.2</v>
      </c>
      <c r="E255" s="30">
        <v>53.2</v>
      </c>
      <c r="F255" s="29">
        <f>28.1</f>
        <v>28.1</v>
      </c>
      <c r="G255" s="31" t="e">
        <v>#N/A</v>
      </c>
      <c r="H255" s="51" t="e">
        <f t="shared" si="16"/>
        <v>#N/A</v>
      </c>
      <c r="I255" s="29">
        <f>1.7</f>
        <v>1.7</v>
      </c>
      <c r="J255" s="31">
        <v>77.95</v>
      </c>
      <c r="K255" s="51">
        <f t="shared" si="17"/>
        <v>1.7092901878914435E-2</v>
      </c>
      <c r="L255" s="29">
        <f>1.1</f>
        <v>1.1000000000000001</v>
      </c>
      <c r="M255" s="30">
        <v>1.1000000000000001</v>
      </c>
      <c r="N255" s="29">
        <f>1.1</f>
        <v>1.1000000000000001</v>
      </c>
      <c r="O255" s="29">
        <v>686834.9</v>
      </c>
      <c r="P255" s="51">
        <f t="shared" si="15"/>
        <v>1.1404672222434176E-2</v>
      </c>
      <c r="Q255" s="29">
        <f>8.4</f>
        <v>8.4</v>
      </c>
      <c r="R255" s="43">
        <v>55.8</v>
      </c>
      <c r="S255" s="32">
        <f t="shared" si="18"/>
        <v>8.7719298245614044E-2</v>
      </c>
      <c r="T255" s="54" t="e">
        <f>VLOOKUP(A255,[1]인포맥스!$A:$I,9,0)</f>
        <v>#N/A</v>
      </c>
      <c r="U255" s="70" t="e">
        <f t="shared" si="19"/>
        <v>#N/A</v>
      </c>
    </row>
    <row r="256" spans="1:21" x14ac:dyDescent="0.25">
      <c r="A256" s="3">
        <v>36646</v>
      </c>
      <c r="B256" s="29" t="e">
        <f>NA()</f>
        <v>#N/A</v>
      </c>
      <c r="C256" s="29" t="e">
        <v>#N/A</v>
      </c>
      <c r="D256" s="50">
        <f>54.7</f>
        <v>54.7</v>
      </c>
      <c r="E256" s="30">
        <v>54.7</v>
      </c>
      <c r="F256" s="29">
        <f>17.6</f>
        <v>17.600000000000001</v>
      </c>
      <c r="G256" s="31" t="e">
        <v>#N/A</v>
      </c>
      <c r="H256" s="51" t="e">
        <f t="shared" si="16"/>
        <v>#N/A</v>
      </c>
      <c r="I256" s="29">
        <f>2.4</f>
        <v>2.4</v>
      </c>
      <c r="J256" s="31">
        <v>78.14</v>
      </c>
      <c r="K256" s="51">
        <f t="shared" si="17"/>
        <v>2.3846960167714985E-2</v>
      </c>
      <c r="L256" s="29">
        <f>1.4</f>
        <v>1.4</v>
      </c>
      <c r="M256" s="30">
        <v>1.4</v>
      </c>
      <c r="N256" s="29">
        <f>1.8</f>
        <v>1.8</v>
      </c>
      <c r="O256" s="29">
        <v>688879.2</v>
      </c>
      <c r="P256" s="51">
        <f t="shared" si="15"/>
        <v>1.7505342470528495E-2</v>
      </c>
      <c r="Q256" s="29">
        <f>9.7</f>
        <v>9.6999999999999993</v>
      </c>
      <c r="R256" s="43">
        <v>55.8</v>
      </c>
      <c r="S256" s="32">
        <f t="shared" si="18"/>
        <v>0.10276679841897224</v>
      </c>
      <c r="T256" s="54" t="e">
        <f>VLOOKUP(A256,[1]인포맥스!$A:$I,9,0)</f>
        <v>#N/A</v>
      </c>
      <c r="U256" s="70" t="e">
        <f t="shared" si="19"/>
        <v>#N/A</v>
      </c>
    </row>
    <row r="257" spans="1:21" x14ac:dyDescent="0.25">
      <c r="A257" s="3">
        <v>36616</v>
      </c>
      <c r="B257" s="29" t="e">
        <f>NA()</f>
        <v>#N/A</v>
      </c>
      <c r="C257" s="29" t="e">
        <v>#N/A</v>
      </c>
      <c r="D257" s="50">
        <f>54.9</f>
        <v>54.9</v>
      </c>
      <c r="E257" s="30">
        <v>54.9</v>
      </c>
      <c r="F257" s="29">
        <f>23.8</f>
        <v>23.8</v>
      </c>
      <c r="G257" s="31" t="e">
        <v>#N/A</v>
      </c>
      <c r="H257" s="51" t="e">
        <f t="shared" si="16"/>
        <v>#N/A</v>
      </c>
      <c r="I257" s="29">
        <f>3.2</f>
        <v>3.2</v>
      </c>
      <c r="J257" s="31">
        <v>78.52</v>
      </c>
      <c r="K257" s="51">
        <f t="shared" si="17"/>
        <v>3.1664695834975651E-2</v>
      </c>
      <c r="L257" s="29">
        <f>2.1</f>
        <v>2.1</v>
      </c>
      <c r="M257" s="30">
        <v>2.1</v>
      </c>
      <c r="N257" s="29">
        <f>2.3</f>
        <v>2.2999999999999998</v>
      </c>
      <c r="O257" s="29">
        <v>684704.8</v>
      </c>
      <c r="P257" s="51">
        <f t="shared" si="15"/>
        <v>2.25309157747773E-2</v>
      </c>
      <c r="Q257" s="29">
        <f>11.4</f>
        <v>11.4</v>
      </c>
      <c r="R257" s="43">
        <v>55.9</v>
      </c>
      <c r="S257" s="32">
        <f t="shared" si="18"/>
        <v>0.12248995983935747</v>
      </c>
      <c r="T257" s="54" t="e">
        <f>VLOOKUP(A257,[1]인포맥스!$A:$I,9,0)</f>
        <v>#N/A</v>
      </c>
      <c r="U257" s="70" t="e">
        <f t="shared" si="19"/>
        <v>#N/A</v>
      </c>
    </row>
    <row r="258" spans="1:21" x14ac:dyDescent="0.25">
      <c r="A258" s="3">
        <v>36585</v>
      </c>
      <c r="B258" s="29" t="e">
        <f>NA()</f>
        <v>#N/A</v>
      </c>
      <c r="C258" s="29" t="e">
        <v>#N/A</v>
      </c>
      <c r="D258" s="50">
        <f>55.8</f>
        <v>55.8</v>
      </c>
      <c r="E258" s="30">
        <v>55.8</v>
      </c>
      <c r="F258" s="29">
        <f>35.8</f>
        <v>35.799999999999997</v>
      </c>
      <c r="G258" s="31" t="e">
        <v>#N/A</v>
      </c>
      <c r="H258" s="51" t="e">
        <f t="shared" si="16"/>
        <v>#N/A</v>
      </c>
      <c r="I258" s="29">
        <f>3</f>
        <v>3</v>
      </c>
      <c r="J258" s="31">
        <v>78.569999999999993</v>
      </c>
      <c r="K258" s="51">
        <f t="shared" si="17"/>
        <v>3.0426229508196633E-2</v>
      </c>
      <c r="L258" s="29">
        <f>1.8</f>
        <v>1.8</v>
      </c>
      <c r="M258" s="30">
        <v>1.8</v>
      </c>
      <c r="N258" s="29">
        <f>1.4</f>
        <v>1.4</v>
      </c>
      <c r="O258" s="29">
        <v>678380.4</v>
      </c>
      <c r="P258" s="51">
        <f t="shared" si="15"/>
        <v>1.4092768849231595E-2</v>
      </c>
      <c r="Q258" s="29">
        <f>12.5</f>
        <v>12.5</v>
      </c>
      <c r="R258" s="43">
        <v>55.6</v>
      </c>
      <c r="S258" s="32">
        <f t="shared" si="18"/>
        <v>0.13701431492842542</v>
      </c>
      <c r="T258" s="54" t="e">
        <f>VLOOKUP(A258,[1]인포맥스!$A:$I,9,0)</f>
        <v>#N/A</v>
      </c>
      <c r="U258" s="70" t="e">
        <f t="shared" si="19"/>
        <v>#N/A</v>
      </c>
    </row>
    <row r="259" spans="1:21" x14ac:dyDescent="0.25">
      <c r="A259" s="3">
        <v>36556</v>
      </c>
      <c r="B259" s="29" t="e">
        <f>NA()</f>
        <v>#N/A</v>
      </c>
      <c r="C259" s="29" t="e">
        <v>#N/A</v>
      </c>
      <c r="D259" s="50">
        <f>56.7</f>
        <v>56.7</v>
      </c>
      <c r="E259" s="30">
        <v>56.7</v>
      </c>
      <c r="F259" s="29">
        <f>31.4</f>
        <v>31.4</v>
      </c>
      <c r="G259" s="31" t="e">
        <v>#N/A</v>
      </c>
      <c r="H259" s="51" t="e">
        <f t="shared" si="16"/>
        <v>#N/A</v>
      </c>
      <c r="I259" s="29">
        <f>3.1</f>
        <v>3.1</v>
      </c>
      <c r="J259" s="31">
        <v>78.77</v>
      </c>
      <c r="K259" s="51">
        <f t="shared" si="17"/>
        <v>3.0751112274273674E-2</v>
      </c>
      <c r="L259" s="29">
        <f>1.9</f>
        <v>1.9</v>
      </c>
      <c r="M259" s="30">
        <v>1.9</v>
      </c>
      <c r="N259" s="29">
        <f>3.2</f>
        <v>3.2</v>
      </c>
      <c r="O259" s="29">
        <v>676961.3</v>
      </c>
      <c r="P259" s="51">
        <f t="shared" si="15"/>
        <v>3.1889651917778268E-2</v>
      </c>
      <c r="Q259" s="29">
        <f>13.7</f>
        <v>13.7</v>
      </c>
      <c r="R259" s="43">
        <v>55.4</v>
      </c>
      <c r="S259" s="32">
        <f t="shared" si="18"/>
        <v>0.15416666666666665</v>
      </c>
      <c r="T259" s="54" t="e">
        <f>VLOOKUP(A259,[1]인포맥스!$A:$I,9,0)</f>
        <v>#N/A</v>
      </c>
      <c r="U259" s="70" t="e">
        <f t="shared" si="19"/>
        <v>#N/A</v>
      </c>
    </row>
    <row r="260" spans="1:21" x14ac:dyDescent="0.25">
      <c r="A260" s="3">
        <v>36525</v>
      </c>
      <c r="B260" s="29" t="e">
        <f>NA()</f>
        <v>#N/A</v>
      </c>
      <c r="C260" s="29" t="e">
        <v>#N/A</v>
      </c>
      <c r="D260" s="50">
        <f>57.8</f>
        <v>57.8</v>
      </c>
      <c r="E260" s="30">
        <v>57.8</v>
      </c>
      <c r="F260" s="29">
        <f>20.4</f>
        <v>20.399999999999999</v>
      </c>
      <c r="G260" s="31" t="e">
        <v>#N/A</v>
      </c>
      <c r="H260" s="51" t="e">
        <f t="shared" si="16"/>
        <v>#N/A</v>
      </c>
      <c r="I260" s="29">
        <f>0.9</f>
        <v>0.9</v>
      </c>
      <c r="J260" s="31">
        <v>77.959999999999994</v>
      </c>
      <c r="K260" s="51">
        <f t="shared" si="17"/>
        <v>9.0603158167226073E-3</v>
      </c>
      <c r="L260" s="29">
        <f>1.4</f>
        <v>1.4</v>
      </c>
      <c r="M260" s="30">
        <v>1.4</v>
      </c>
      <c r="N260" s="29">
        <f>5.3</f>
        <v>5.3</v>
      </c>
      <c r="O260" s="29">
        <v>682329</v>
      </c>
      <c r="P260" s="51">
        <f t="shared" si="15"/>
        <v>5.2674532823212383E-2</v>
      </c>
      <c r="Q260" s="29">
        <f>13.8</f>
        <v>13.8</v>
      </c>
      <c r="R260" s="43">
        <v>54.6</v>
      </c>
      <c r="S260" s="32">
        <f t="shared" si="18"/>
        <v>0.15677966101694912</v>
      </c>
      <c r="T260" s="54" t="e">
        <f>VLOOKUP(A260,[1]인포맥스!$A:$I,9,0)</f>
        <v>#N/A</v>
      </c>
      <c r="U260" s="70" t="e">
        <f t="shared" si="19"/>
        <v>#N/A</v>
      </c>
    </row>
    <row r="261" spans="1:21" x14ac:dyDescent="0.25">
      <c r="A261" s="3">
        <v>36494</v>
      </c>
      <c r="B261" s="29" t="e">
        <f>NA()</f>
        <v>#N/A</v>
      </c>
      <c r="C261" s="29" t="e">
        <v>#N/A</v>
      </c>
      <c r="D261" s="50">
        <f>58.1</f>
        <v>58.1</v>
      </c>
      <c r="E261" s="30">
        <v>58.1</v>
      </c>
      <c r="F261" s="29">
        <f>21.7</f>
        <v>21.7</v>
      </c>
      <c r="G261" s="31" t="e">
        <v>#N/A</v>
      </c>
      <c r="H261" s="51" t="e">
        <f t="shared" si="16"/>
        <v>#N/A</v>
      </c>
      <c r="I261" s="29">
        <f>0.6</f>
        <v>0.6</v>
      </c>
      <c r="J261" s="31">
        <v>78.150000000000006</v>
      </c>
      <c r="K261" s="51">
        <f t="shared" si="17"/>
        <v>5.9209679495431586E-3</v>
      </c>
      <c r="L261" s="29">
        <f>1.4</f>
        <v>1.4</v>
      </c>
      <c r="M261" s="30">
        <v>1.4</v>
      </c>
      <c r="N261" s="29">
        <f>6.3</f>
        <v>6.3</v>
      </c>
      <c r="O261" s="29">
        <v>682930.6</v>
      </c>
      <c r="P261" s="51">
        <f t="shared" ref="P261:P324" si="20">(O261-O273)/O273</f>
        <v>6.3303835460442437E-2</v>
      </c>
      <c r="Q261" s="29">
        <f>15</f>
        <v>15</v>
      </c>
      <c r="R261" s="43">
        <v>54.4</v>
      </c>
      <c r="S261" s="32">
        <f t="shared" si="18"/>
        <v>0.16989247311827954</v>
      </c>
      <c r="T261" s="54" t="e">
        <f>VLOOKUP(A261,[1]인포맥스!$A:$I,9,0)</f>
        <v>#N/A</v>
      </c>
      <c r="U261" s="70" t="e">
        <f t="shared" si="19"/>
        <v>#N/A</v>
      </c>
    </row>
    <row r="262" spans="1:21" x14ac:dyDescent="0.25">
      <c r="A262" s="3">
        <v>36464</v>
      </c>
      <c r="B262" s="29" t="e">
        <f>NA()</f>
        <v>#N/A</v>
      </c>
      <c r="C262" s="29" t="e">
        <v>#N/A</v>
      </c>
      <c r="D262" s="50">
        <f>57.2</f>
        <v>57.2</v>
      </c>
      <c r="E262" s="30">
        <v>57.2</v>
      </c>
      <c r="F262" s="29">
        <f>26.5</f>
        <v>26.5</v>
      </c>
      <c r="G262" s="31" t="e">
        <v>#N/A</v>
      </c>
      <c r="H262" s="51" t="e">
        <f t="shared" ref="H262:H325" si="21">(G262-G274)/G274</f>
        <v>#N/A</v>
      </c>
      <c r="I262" s="29">
        <f>-0.2</f>
        <v>-0.2</v>
      </c>
      <c r="J262" s="31">
        <v>77.69</v>
      </c>
      <c r="K262" s="51">
        <f t="shared" ref="K262:K325" si="22">(J262-J274)/J274</f>
        <v>-1.67052171678226E-3</v>
      </c>
      <c r="L262" s="29">
        <f>1.2</f>
        <v>1.2</v>
      </c>
      <c r="M262" s="30">
        <v>1.2</v>
      </c>
      <c r="N262" s="29">
        <f>7.4</f>
        <v>7.4</v>
      </c>
      <c r="O262" s="29">
        <v>679285.9</v>
      </c>
      <c r="P262" s="51">
        <f t="shared" si="20"/>
        <v>7.3528849335877486E-2</v>
      </c>
      <c r="Q262" s="29">
        <f>15.7</f>
        <v>15.7</v>
      </c>
      <c r="R262" s="43">
        <v>54</v>
      </c>
      <c r="S262" s="32">
        <f t="shared" ref="S262:S325" si="23">(R262-R274)/R274</f>
        <v>0.17647058823529416</v>
      </c>
      <c r="T262" s="54" t="e">
        <f>VLOOKUP(A262,[1]인포맥스!$A:$I,9,0)</f>
        <v>#N/A</v>
      </c>
      <c r="U262" s="70" t="e">
        <f t="shared" ref="U262:U325" si="24">(T262-T274)/T274</f>
        <v>#N/A</v>
      </c>
    </row>
    <row r="263" spans="1:21" x14ac:dyDescent="0.25">
      <c r="A263" s="3">
        <v>36433</v>
      </c>
      <c r="B263" s="29" t="e">
        <f>NA()</f>
        <v>#N/A</v>
      </c>
      <c r="C263" s="29" t="e">
        <v>#N/A</v>
      </c>
      <c r="D263" s="50">
        <f>57</f>
        <v>57</v>
      </c>
      <c r="E263" s="30">
        <v>57</v>
      </c>
      <c r="F263" s="29">
        <f>11.3</f>
        <v>11.3</v>
      </c>
      <c r="G263" s="31" t="e">
        <v>#N/A</v>
      </c>
      <c r="H263" s="51" t="e">
        <f t="shared" si="21"/>
        <v>#N/A</v>
      </c>
      <c r="I263" s="29">
        <f>-1.2</f>
        <v>-1.2</v>
      </c>
      <c r="J263" s="31">
        <v>76.89</v>
      </c>
      <c r="K263" s="51">
        <f t="shared" si="22"/>
        <v>-1.156961048978025E-2</v>
      </c>
      <c r="L263" s="29">
        <f>0.8</f>
        <v>0.8</v>
      </c>
      <c r="M263" s="30">
        <v>0.8</v>
      </c>
      <c r="N263" s="29">
        <f>8.4</f>
        <v>8.4</v>
      </c>
      <c r="O263" s="29">
        <v>676546.8</v>
      </c>
      <c r="P263" s="51">
        <f t="shared" si="20"/>
        <v>8.4374704482252982E-2</v>
      </c>
      <c r="Q263" s="29">
        <f>17.1</f>
        <v>17.100000000000001</v>
      </c>
      <c r="R263" s="43">
        <v>53.9</v>
      </c>
      <c r="S263" s="32">
        <f t="shared" si="23"/>
        <v>0.18984547461368659</v>
      </c>
      <c r="T263" s="54" t="e">
        <f>VLOOKUP(A263,[1]인포맥스!$A:$I,9,0)</f>
        <v>#N/A</v>
      </c>
      <c r="U263" s="70" t="e">
        <f t="shared" si="24"/>
        <v>#N/A</v>
      </c>
    </row>
    <row r="264" spans="1:21" x14ac:dyDescent="0.25">
      <c r="A264" s="3">
        <v>36403</v>
      </c>
      <c r="B264" s="29" t="e">
        <f>NA()</f>
        <v>#N/A</v>
      </c>
      <c r="C264" s="29" t="e">
        <v>#N/A</v>
      </c>
      <c r="D264" s="50">
        <f>54.8</f>
        <v>54.8</v>
      </c>
      <c r="E264" s="30">
        <v>54.8</v>
      </c>
      <c r="F264" s="29">
        <f>17.1</f>
        <v>17.100000000000001</v>
      </c>
      <c r="G264" s="31" t="e">
        <v>#N/A</v>
      </c>
      <c r="H264" s="51" t="e">
        <f t="shared" si="21"/>
        <v>#N/A</v>
      </c>
      <c r="I264" s="29">
        <f>-1.6</f>
        <v>-1.6</v>
      </c>
      <c r="J264" s="31">
        <v>76.52</v>
      </c>
      <c r="K264" s="51">
        <f t="shared" si="22"/>
        <v>-1.556670526180378E-2</v>
      </c>
      <c r="L264" s="29">
        <f>0.9</f>
        <v>0.9</v>
      </c>
      <c r="M264" s="30">
        <v>0.9</v>
      </c>
      <c r="N264" s="29">
        <f>11</f>
        <v>11</v>
      </c>
      <c r="O264" s="29">
        <v>681728.7</v>
      </c>
      <c r="P264" s="51">
        <f t="shared" si="20"/>
        <v>0.11040607194059916</v>
      </c>
      <c r="Q264" s="29">
        <f>18</f>
        <v>18</v>
      </c>
      <c r="R264" s="43">
        <v>53.6</v>
      </c>
      <c r="S264" s="32">
        <f t="shared" si="23"/>
        <v>0.19642857142857154</v>
      </c>
      <c r="T264" s="54" t="e">
        <f>VLOOKUP(A264,[1]인포맥스!$A:$I,9,0)</f>
        <v>#N/A</v>
      </c>
      <c r="U264" s="70" t="e">
        <f t="shared" si="24"/>
        <v>#N/A</v>
      </c>
    </row>
    <row r="265" spans="1:21" x14ac:dyDescent="0.25">
      <c r="A265" s="3">
        <v>36372</v>
      </c>
      <c r="B265" s="29" t="e">
        <f>NA()</f>
        <v>#N/A</v>
      </c>
      <c r="C265" s="29" t="e">
        <v>#N/A</v>
      </c>
      <c r="D265" s="50">
        <f>53.6</f>
        <v>53.6</v>
      </c>
      <c r="E265" s="30">
        <v>53.6</v>
      </c>
      <c r="F265" s="29">
        <f>17.2</f>
        <v>17.2</v>
      </c>
      <c r="G265" s="31" t="e">
        <v>#N/A</v>
      </c>
      <c r="H265" s="51" t="e">
        <f t="shared" si="21"/>
        <v>#N/A</v>
      </c>
      <c r="I265" s="29">
        <f>-2.9</f>
        <v>-2.9</v>
      </c>
      <c r="J265" s="31">
        <v>76.03</v>
      </c>
      <c r="K265" s="51">
        <f t="shared" si="22"/>
        <v>-2.8867032826670136E-2</v>
      </c>
      <c r="L265" s="29">
        <f>0.3</f>
        <v>0.3</v>
      </c>
      <c r="M265" s="30">
        <v>0.3</v>
      </c>
      <c r="N265" s="29">
        <f>13.9</f>
        <v>13.9</v>
      </c>
      <c r="O265" s="29">
        <v>683858.9</v>
      </c>
      <c r="P265" s="51">
        <f t="shared" si="20"/>
        <v>0.13901801718673124</v>
      </c>
      <c r="Q265" s="29">
        <f>18.2</f>
        <v>18.2</v>
      </c>
      <c r="R265" s="43">
        <v>53.1</v>
      </c>
      <c r="S265" s="32">
        <f t="shared" si="23"/>
        <v>0.20135746606334837</v>
      </c>
      <c r="T265" s="54" t="e">
        <f>VLOOKUP(A265,[1]인포맥스!$A:$I,9,0)</f>
        <v>#N/A</v>
      </c>
      <c r="U265" s="70" t="e">
        <f t="shared" si="24"/>
        <v>#N/A</v>
      </c>
    </row>
    <row r="266" spans="1:21" x14ac:dyDescent="0.25">
      <c r="A266" s="3">
        <v>36341</v>
      </c>
      <c r="B266" s="29" t="e">
        <f>NA()</f>
        <v>#N/A</v>
      </c>
      <c r="C266" s="29" t="e">
        <v>#N/A</v>
      </c>
      <c r="D266" s="50">
        <f>55.8</f>
        <v>55.8</v>
      </c>
      <c r="E266" s="30">
        <v>55.8</v>
      </c>
      <c r="F266" s="29">
        <f>11.4</f>
        <v>11.4</v>
      </c>
      <c r="G266" s="31" t="e">
        <v>#N/A</v>
      </c>
      <c r="H266" s="51" t="e">
        <f t="shared" si="21"/>
        <v>#N/A</v>
      </c>
      <c r="I266" s="29">
        <f>-3.2</f>
        <v>-3.2</v>
      </c>
      <c r="J266" s="31">
        <v>76.150000000000006</v>
      </c>
      <c r="K266" s="51">
        <f t="shared" si="22"/>
        <v>-3.2155566853075759E-2</v>
      </c>
      <c r="L266" s="29">
        <f>0.6</f>
        <v>0.6</v>
      </c>
      <c r="M266" s="30">
        <v>0.6</v>
      </c>
      <c r="N266" s="29">
        <f>16.1</f>
        <v>16.100000000000001</v>
      </c>
      <c r="O266" s="29">
        <v>682687.1</v>
      </c>
      <c r="P266" s="51">
        <f t="shared" si="20"/>
        <v>0.16102024094303774</v>
      </c>
      <c r="Q266" s="29">
        <f>17.4</f>
        <v>17.399999999999999</v>
      </c>
      <c r="R266" s="43">
        <v>52.2</v>
      </c>
      <c r="S266" s="32">
        <f t="shared" si="23"/>
        <v>0.19178082191780838</v>
      </c>
      <c r="T266" s="54" t="e">
        <f>VLOOKUP(A266,[1]인포맥스!$A:$I,9,0)</f>
        <v>#N/A</v>
      </c>
      <c r="U266" s="70" t="e">
        <f t="shared" si="24"/>
        <v>#N/A</v>
      </c>
    </row>
    <row r="267" spans="1:21" x14ac:dyDescent="0.25">
      <c r="A267" s="3">
        <v>36311</v>
      </c>
      <c r="B267" s="29" t="e">
        <f>NA()</f>
        <v>#N/A</v>
      </c>
      <c r="C267" s="29" t="e">
        <v>#N/A</v>
      </c>
      <c r="D267" s="50">
        <f>54.3</f>
        <v>54.3</v>
      </c>
      <c r="E267" s="30">
        <v>54.3</v>
      </c>
      <c r="F267" s="29">
        <f>1</f>
        <v>1</v>
      </c>
      <c r="G267" s="31" t="e">
        <v>#N/A</v>
      </c>
      <c r="H267" s="51" t="e">
        <f t="shared" si="21"/>
        <v>#N/A</v>
      </c>
      <c r="I267" s="29">
        <f>-2.7</f>
        <v>-2.7</v>
      </c>
      <c r="J267" s="31">
        <v>76.64</v>
      </c>
      <c r="K267" s="51">
        <f t="shared" si="22"/>
        <v>-2.6917216861350995E-2</v>
      </c>
      <c r="L267" s="29">
        <f>0.8</f>
        <v>0.8</v>
      </c>
      <c r="M267" s="30">
        <v>0.8</v>
      </c>
      <c r="N267" s="29">
        <f>18</f>
        <v>18</v>
      </c>
      <c r="O267" s="29">
        <v>679090.1</v>
      </c>
      <c r="P267" s="51">
        <f t="shared" si="20"/>
        <v>0.17985789376572131</v>
      </c>
      <c r="Q267" s="29">
        <f>16.1</f>
        <v>16.100000000000001</v>
      </c>
      <c r="R267" s="43">
        <v>51.3</v>
      </c>
      <c r="S267" s="32">
        <f t="shared" si="23"/>
        <v>0.17660550458715585</v>
      </c>
      <c r="T267" s="54" t="e">
        <f>VLOOKUP(A267,[1]인포맥스!$A:$I,9,0)</f>
        <v>#N/A</v>
      </c>
      <c r="U267" s="70" t="e">
        <f t="shared" si="24"/>
        <v>#N/A</v>
      </c>
    </row>
    <row r="268" spans="1:21" x14ac:dyDescent="0.25">
      <c r="A268" s="3">
        <v>36280</v>
      </c>
      <c r="B268" s="29" t="e">
        <f>NA()</f>
        <v>#N/A</v>
      </c>
      <c r="C268" s="29" t="e">
        <v>#N/A</v>
      </c>
      <c r="D268" s="50">
        <f>52.3</f>
        <v>52.3</v>
      </c>
      <c r="E268" s="30">
        <v>52.3</v>
      </c>
      <c r="F268" s="29">
        <f>-4.7</f>
        <v>-4.7</v>
      </c>
      <c r="G268" s="31" t="e">
        <v>#N/A</v>
      </c>
      <c r="H268" s="51" t="e">
        <f t="shared" si="21"/>
        <v>#N/A</v>
      </c>
      <c r="I268" s="29">
        <f>-4.1</f>
        <v>-4.0999999999999996</v>
      </c>
      <c r="J268" s="31">
        <v>76.319999999999993</v>
      </c>
      <c r="K268" s="51">
        <f t="shared" si="22"/>
        <v>-4.1446872645064192E-2</v>
      </c>
      <c r="L268" s="29">
        <f>0.4</f>
        <v>0.4</v>
      </c>
      <c r="M268" s="30">
        <v>0.4</v>
      </c>
      <c r="N268" s="29">
        <f>18.6</f>
        <v>18.600000000000001</v>
      </c>
      <c r="O268" s="29">
        <v>677027.6</v>
      </c>
      <c r="P268" s="51">
        <f t="shared" si="20"/>
        <v>0.18596505241856931</v>
      </c>
      <c r="Q268" s="29">
        <f>14.7</f>
        <v>14.7</v>
      </c>
      <c r="R268" s="43">
        <v>50.6</v>
      </c>
      <c r="S268" s="32">
        <f t="shared" si="23"/>
        <v>0.16859122401847587</v>
      </c>
      <c r="T268" s="54" t="e">
        <f>VLOOKUP(A268,[1]인포맥스!$A:$I,9,0)</f>
        <v>#N/A</v>
      </c>
      <c r="U268" s="70" t="e">
        <f t="shared" si="24"/>
        <v>#N/A</v>
      </c>
    </row>
    <row r="269" spans="1:21" x14ac:dyDescent="0.25">
      <c r="A269" s="3">
        <v>36250</v>
      </c>
      <c r="B269" s="29" t="e">
        <f>NA()</f>
        <v>#N/A</v>
      </c>
      <c r="C269" s="29" t="e">
        <v>#N/A</v>
      </c>
      <c r="D269" s="50">
        <f>52.4</f>
        <v>52.4</v>
      </c>
      <c r="E269" s="30">
        <v>52.4</v>
      </c>
      <c r="F269" s="29">
        <f>-2.9</f>
        <v>-2.9</v>
      </c>
      <c r="G269" s="31" t="e">
        <v>#N/A</v>
      </c>
      <c r="H269" s="51" t="e">
        <f t="shared" si="21"/>
        <v>#N/A</v>
      </c>
      <c r="I269" s="29">
        <f>-4.3</f>
        <v>-4.3</v>
      </c>
      <c r="J269" s="31">
        <v>76.11</v>
      </c>
      <c r="K269" s="51">
        <f t="shared" si="22"/>
        <v>-4.3243243243243218E-2</v>
      </c>
      <c r="L269" s="29">
        <f>0.5</f>
        <v>0.5</v>
      </c>
      <c r="M269" s="30">
        <v>0.5</v>
      </c>
      <c r="N269" s="29">
        <f>20.7</f>
        <v>20.7</v>
      </c>
      <c r="O269" s="29">
        <v>669617.69999999995</v>
      </c>
      <c r="P269" s="51">
        <f t="shared" si="20"/>
        <v>0.18977006027049498</v>
      </c>
      <c r="Q269" s="29">
        <f>13.1</f>
        <v>13.1</v>
      </c>
      <c r="R269" s="43">
        <v>49.8</v>
      </c>
      <c r="S269" s="32">
        <f t="shared" si="23"/>
        <v>0.16627634660421531</v>
      </c>
      <c r="T269" s="54" t="e">
        <f>VLOOKUP(A269,[1]인포맥스!$A:$I,9,0)</f>
        <v>#N/A</v>
      </c>
      <c r="U269" s="70" t="e">
        <f t="shared" si="24"/>
        <v>#N/A</v>
      </c>
    </row>
    <row r="270" spans="1:21" x14ac:dyDescent="0.25">
      <c r="A270" s="3">
        <v>36219</v>
      </c>
      <c r="B270" s="29" t="e">
        <f>NA()</f>
        <v>#N/A</v>
      </c>
      <c r="C270" s="29" t="e">
        <v>#N/A</v>
      </c>
      <c r="D270" s="50">
        <f>51.7</f>
        <v>51.7</v>
      </c>
      <c r="E270" s="30">
        <v>51.7</v>
      </c>
      <c r="F270" s="29">
        <f>-16.8</f>
        <v>-16.8</v>
      </c>
      <c r="G270" s="31" t="e">
        <v>#N/A</v>
      </c>
      <c r="H270" s="51" t="e">
        <f t="shared" si="21"/>
        <v>#N/A</v>
      </c>
      <c r="I270" s="29">
        <f>-4.4</f>
        <v>-4.4000000000000004</v>
      </c>
      <c r="J270" s="31">
        <v>76.25</v>
      </c>
      <c r="K270" s="51">
        <f t="shared" si="22"/>
        <v>-4.3527345709984934E-2</v>
      </c>
      <c r="L270" s="29">
        <f>0.2</f>
        <v>0.2</v>
      </c>
      <c r="M270" s="30">
        <v>0.2</v>
      </c>
      <c r="N270" s="29">
        <f>20.7</f>
        <v>20.7</v>
      </c>
      <c r="O270" s="29">
        <v>668953</v>
      </c>
      <c r="P270" s="51">
        <f t="shared" si="20"/>
        <v>0.20675186320064615</v>
      </c>
      <c r="Q270" s="29">
        <f>11.2</f>
        <v>11.2</v>
      </c>
      <c r="R270" s="43">
        <v>48.9</v>
      </c>
      <c r="S270" s="32">
        <f t="shared" si="23"/>
        <v>0.15330188679245282</v>
      </c>
      <c r="T270" s="54" t="e">
        <f>VLOOKUP(A270,[1]인포맥스!$A:$I,9,0)</f>
        <v>#N/A</v>
      </c>
      <c r="U270" s="70" t="e">
        <f t="shared" si="24"/>
        <v>#N/A</v>
      </c>
    </row>
    <row r="271" spans="1:21" x14ac:dyDescent="0.25">
      <c r="A271" s="3">
        <v>36191</v>
      </c>
      <c r="B271" s="29" t="e">
        <f>NA()</f>
        <v>#N/A</v>
      </c>
      <c r="C271" s="29" t="e">
        <v>#N/A</v>
      </c>
      <c r="D271" s="50">
        <f>50.6</f>
        <v>50.6</v>
      </c>
      <c r="E271" s="30">
        <v>50.6</v>
      </c>
      <c r="F271" s="29">
        <f>2.9</f>
        <v>2.9</v>
      </c>
      <c r="G271" s="31" t="e">
        <v>#N/A</v>
      </c>
      <c r="H271" s="51" t="e">
        <f t="shared" si="21"/>
        <v>#N/A</v>
      </c>
      <c r="I271" s="29">
        <f>-1.7</f>
        <v>-1.7</v>
      </c>
      <c r="J271" s="31">
        <v>76.42</v>
      </c>
      <c r="K271" s="51">
        <f t="shared" si="22"/>
        <v>-1.7106109324758822E-2</v>
      </c>
      <c r="L271" s="29">
        <f>1.5</f>
        <v>1.5</v>
      </c>
      <c r="M271" s="30">
        <v>1.5</v>
      </c>
      <c r="N271" s="29">
        <f>21.3</f>
        <v>21.3</v>
      </c>
      <c r="O271" s="29">
        <v>656040.4</v>
      </c>
      <c r="P271" s="51">
        <f t="shared" si="20"/>
        <v>0.21273164104836412</v>
      </c>
      <c r="Q271" s="29">
        <f>9</f>
        <v>9</v>
      </c>
      <c r="R271" s="43">
        <v>48</v>
      </c>
      <c r="S271" s="32">
        <f t="shared" si="23"/>
        <v>0.11888111888111892</v>
      </c>
      <c r="T271" s="54" t="e">
        <f>VLOOKUP(A271,[1]인포맥스!$A:$I,9,0)</f>
        <v>#N/A</v>
      </c>
      <c r="U271" s="70" t="e">
        <f t="shared" si="24"/>
        <v>#N/A</v>
      </c>
    </row>
    <row r="272" spans="1:21" x14ac:dyDescent="0.25">
      <c r="A272" s="3">
        <v>36160</v>
      </c>
      <c r="B272" s="29" t="e">
        <f>NA()</f>
        <v>#N/A</v>
      </c>
      <c r="C272" s="29" t="e">
        <v>#N/A</v>
      </c>
      <c r="D272" s="50">
        <f>46.8</f>
        <v>46.8</v>
      </c>
      <c r="E272" s="30">
        <v>46.8</v>
      </c>
      <c r="F272" s="29">
        <f>-0.1</f>
        <v>-0.1</v>
      </c>
      <c r="G272" s="31" t="e">
        <v>#N/A</v>
      </c>
      <c r="H272" s="51" t="e">
        <f t="shared" si="21"/>
        <v>#N/A</v>
      </c>
      <c r="I272" s="29">
        <f>3.6</f>
        <v>3.6</v>
      </c>
      <c r="J272" s="31">
        <v>77.260000000000005</v>
      </c>
      <c r="K272" s="51">
        <f t="shared" si="22"/>
        <v>3.5934566908018328E-2</v>
      </c>
      <c r="L272" s="29">
        <f>4</f>
        <v>4</v>
      </c>
      <c r="M272" s="30">
        <v>4</v>
      </c>
      <c r="N272" s="29">
        <f>22.6</f>
        <v>22.6</v>
      </c>
      <c r="O272" s="29">
        <v>648186.1</v>
      </c>
      <c r="P272" s="51">
        <f t="shared" si="20"/>
        <v>0.22611623044215645</v>
      </c>
      <c r="Q272" s="29">
        <f>7.1</f>
        <v>7.1</v>
      </c>
      <c r="R272" s="43">
        <v>47.2</v>
      </c>
      <c r="S272" s="32">
        <f t="shared" si="23"/>
        <v>7.5170842824601472E-2</v>
      </c>
      <c r="T272" s="54" t="e">
        <f>VLOOKUP(A272,[1]인포맥스!$A:$I,9,0)</f>
        <v>#N/A</v>
      </c>
      <c r="U272" s="70" t="e">
        <f t="shared" si="24"/>
        <v>#N/A</v>
      </c>
    </row>
    <row r="273" spans="1:21" x14ac:dyDescent="0.25">
      <c r="A273" s="3">
        <v>36129</v>
      </c>
      <c r="B273" s="29" t="e">
        <f>NA()</f>
        <v>#N/A</v>
      </c>
      <c r="C273" s="29" t="e">
        <v>#N/A</v>
      </c>
      <c r="D273" s="50">
        <f>48.2</f>
        <v>48.2</v>
      </c>
      <c r="E273" s="30">
        <v>48.2</v>
      </c>
      <c r="F273" s="29">
        <f>-1.4</f>
        <v>-1.4</v>
      </c>
      <c r="G273" s="31" t="e">
        <v>#N/A</v>
      </c>
      <c r="H273" s="51" t="e">
        <f t="shared" si="21"/>
        <v>#N/A</v>
      </c>
      <c r="I273" s="29">
        <f>11</f>
        <v>11</v>
      </c>
      <c r="J273" s="31">
        <v>77.69</v>
      </c>
      <c r="K273" s="51">
        <f t="shared" si="22"/>
        <v>0.10954013139103116</v>
      </c>
      <c r="L273" s="29">
        <f>6.8</f>
        <v>6.8</v>
      </c>
      <c r="M273" s="30">
        <v>6.8</v>
      </c>
      <c r="N273" s="29">
        <f>24.4</f>
        <v>24.4</v>
      </c>
      <c r="O273" s="29">
        <v>642272.30000000005</v>
      </c>
      <c r="P273" s="51">
        <f t="shared" si="20"/>
        <v>0.24363473784470341</v>
      </c>
      <c r="Q273" s="29">
        <f>5.3</f>
        <v>5.3</v>
      </c>
      <c r="R273" s="43">
        <v>46.5</v>
      </c>
      <c r="S273" s="32">
        <f t="shared" si="23"/>
        <v>3.563474387527843E-2</v>
      </c>
      <c r="T273" s="54" t="e">
        <f>VLOOKUP(A273,[1]인포맥스!$A:$I,9,0)</f>
        <v>#N/A</v>
      </c>
      <c r="U273" s="70" t="e">
        <f t="shared" si="24"/>
        <v>#N/A</v>
      </c>
    </row>
    <row r="274" spans="1:21" x14ac:dyDescent="0.25">
      <c r="A274" s="3">
        <v>36099</v>
      </c>
      <c r="B274" s="29" t="e">
        <f>NA()</f>
        <v>#N/A</v>
      </c>
      <c r="C274" s="29" t="e">
        <v>#N/A</v>
      </c>
      <c r="D274" s="50">
        <f>48.7</f>
        <v>48.7</v>
      </c>
      <c r="E274" s="30">
        <v>48.7</v>
      </c>
      <c r="F274" s="29">
        <f>-14.7</f>
        <v>-14.7</v>
      </c>
      <c r="G274" s="31" t="e">
        <v>#N/A</v>
      </c>
      <c r="H274" s="51" t="e">
        <f t="shared" si="21"/>
        <v>#N/A</v>
      </c>
      <c r="I274" s="29">
        <f>11.7</f>
        <v>11.7</v>
      </c>
      <c r="J274" s="31">
        <v>77.819999999999993</v>
      </c>
      <c r="K274" s="51">
        <f t="shared" si="22"/>
        <v>0.11730078966259852</v>
      </c>
      <c r="L274" s="29">
        <f>7.2</f>
        <v>7.2</v>
      </c>
      <c r="M274" s="30">
        <v>7.2</v>
      </c>
      <c r="N274" s="29">
        <f>24.9</f>
        <v>24.9</v>
      </c>
      <c r="O274" s="29">
        <v>632759.80000000005</v>
      </c>
      <c r="P274" s="51">
        <f t="shared" si="20"/>
        <v>0.24856188222795639</v>
      </c>
      <c r="Q274" s="29">
        <f>3.9</f>
        <v>3.9</v>
      </c>
      <c r="R274" s="43">
        <v>45.9</v>
      </c>
      <c r="S274" s="32">
        <f t="shared" si="23"/>
        <v>1.5486725663716719E-2</v>
      </c>
      <c r="T274" s="54" t="e">
        <f>VLOOKUP(A274,[1]인포맥스!$A:$I,9,0)</f>
        <v>#N/A</v>
      </c>
      <c r="U274" s="70" t="e">
        <f t="shared" si="24"/>
        <v>#N/A</v>
      </c>
    </row>
    <row r="275" spans="1:21" x14ac:dyDescent="0.25">
      <c r="A275" s="3">
        <v>36068</v>
      </c>
      <c r="B275" s="29" t="e">
        <f>NA()</f>
        <v>#N/A</v>
      </c>
      <c r="C275" s="29" t="e">
        <v>#N/A</v>
      </c>
      <c r="D275" s="50">
        <f>48.7</f>
        <v>48.7</v>
      </c>
      <c r="E275" s="30">
        <v>48.7</v>
      </c>
      <c r="F275" s="29">
        <f>-5.2</f>
        <v>-5.2</v>
      </c>
      <c r="G275" s="31" t="e">
        <v>#N/A</v>
      </c>
      <c r="H275" s="51" t="e">
        <f t="shared" si="21"/>
        <v>#N/A</v>
      </c>
      <c r="I275" s="29">
        <f>11.5</f>
        <v>11.5</v>
      </c>
      <c r="J275" s="31">
        <v>77.790000000000006</v>
      </c>
      <c r="K275" s="51">
        <f t="shared" si="22"/>
        <v>0.11462960309499927</v>
      </c>
      <c r="L275" s="29">
        <f>6.9</f>
        <v>6.9</v>
      </c>
      <c r="M275" s="30">
        <v>6.9</v>
      </c>
      <c r="N275" s="29">
        <f>24.3</f>
        <v>24.3</v>
      </c>
      <c r="O275" s="29">
        <v>623905</v>
      </c>
      <c r="P275" s="51">
        <f t="shared" si="20"/>
        <v>0.24345839300782982</v>
      </c>
      <c r="Q275" s="29">
        <f>2.4</f>
        <v>2.4</v>
      </c>
      <c r="R275" s="43">
        <v>45.3</v>
      </c>
      <c r="S275" s="32">
        <f t="shared" si="23"/>
        <v>2.2123893805308477E-3</v>
      </c>
      <c r="T275" s="54" t="e">
        <f>VLOOKUP(A275,[1]인포맥스!$A:$I,9,0)</f>
        <v>#N/A</v>
      </c>
      <c r="U275" s="70" t="e">
        <f t="shared" si="24"/>
        <v>#N/A</v>
      </c>
    </row>
    <row r="276" spans="1:21" x14ac:dyDescent="0.25">
      <c r="A276" s="3">
        <v>36038</v>
      </c>
      <c r="B276" s="29" t="e">
        <f>NA()</f>
        <v>#N/A</v>
      </c>
      <c r="C276" s="29" t="e">
        <v>#N/A</v>
      </c>
      <c r="D276" s="50">
        <f>49.3</f>
        <v>49.3</v>
      </c>
      <c r="E276" s="30">
        <v>49.3</v>
      </c>
      <c r="F276" s="29">
        <f>-12.1</f>
        <v>-12.1</v>
      </c>
      <c r="G276" s="31" t="e">
        <v>#N/A</v>
      </c>
      <c r="H276" s="51" t="e">
        <f t="shared" si="21"/>
        <v>#N/A</v>
      </c>
      <c r="I276" s="29">
        <f>11.7</f>
        <v>11.7</v>
      </c>
      <c r="J276" s="31">
        <v>77.73</v>
      </c>
      <c r="K276" s="51">
        <f t="shared" si="22"/>
        <v>0.11713135958608804</v>
      </c>
      <c r="L276" s="29">
        <f>6.9</f>
        <v>6.9</v>
      </c>
      <c r="M276" s="30">
        <v>6.9</v>
      </c>
      <c r="N276" s="29">
        <f>25.1</f>
        <v>25.1</v>
      </c>
      <c r="O276" s="29">
        <v>613945.4</v>
      </c>
      <c r="P276" s="51">
        <f t="shared" si="20"/>
        <v>0.25136770959980193</v>
      </c>
      <c r="Q276" s="29">
        <f>1.1</f>
        <v>1.1000000000000001</v>
      </c>
      <c r="R276" s="43">
        <v>44.8</v>
      </c>
      <c r="S276" s="32">
        <f t="shared" si="23"/>
        <v>-6.651884700665283E-3</v>
      </c>
      <c r="T276" s="54" t="e">
        <f>VLOOKUP(A276,[1]인포맥스!$A:$I,9,0)</f>
        <v>#N/A</v>
      </c>
      <c r="U276" s="70" t="e">
        <f t="shared" si="24"/>
        <v>#N/A</v>
      </c>
    </row>
    <row r="277" spans="1:21" x14ac:dyDescent="0.25">
      <c r="A277" s="3">
        <v>36007</v>
      </c>
      <c r="B277" s="29" t="e">
        <f>NA()</f>
        <v>#N/A</v>
      </c>
      <c r="C277" s="29" t="e">
        <v>#N/A</v>
      </c>
      <c r="D277" s="50">
        <f>49.2</f>
        <v>49.2</v>
      </c>
      <c r="E277" s="30">
        <v>49.2</v>
      </c>
      <c r="F277" s="29">
        <f>-15.1</f>
        <v>-15.1</v>
      </c>
      <c r="G277" s="31" t="e">
        <v>#N/A</v>
      </c>
      <c r="H277" s="51" t="e">
        <f t="shared" si="21"/>
        <v>#N/A</v>
      </c>
      <c r="I277" s="29">
        <f>12.7</f>
        <v>12.7</v>
      </c>
      <c r="J277" s="31">
        <v>78.290000000000006</v>
      </c>
      <c r="K277" s="51">
        <f t="shared" si="22"/>
        <v>0.12744815668202777</v>
      </c>
      <c r="L277" s="29">
        <f>7.3</f>
        <v>7.3</v>
      </c>
      <c r="M277" s="30">
        <v>7.3</v>
      </c>
      <c r="N277" s="29">
        <f>24.1</f>
        <v>24.1</v>
      </c>
      <c r="O277" s="29">
        <v>600393.4</v>
      </c>
      <c r="P277" s="51">
        <f t="shared" si="20"/>
        <v>0.24102787341211179</v>
      </c>
      <c r="Q277" s="29">
        <f>-0.4</f>
        <v>-0.4</v>
      </c>
      <c r="R277" s="43">
        <v>44.2</v>
      </c>
      <c r="S277" s="32">
        <f t="shared" si="23"/>
        <v>-1.3392857142857017E-2</v>
      </c>
      <c r="T277" s="54" t="e">
        <f>VLOOKUP(A277,[1]인포맥스!$A:$I,9,0)</f>
        <v>#N/A</v>
      </c>
      <c r="U277" s="70" t="e">
        <f t="shared" si="24"/>
        <v>#N/A</v>
      </c>
    </row>
    <row r="278" spans="1:21" x14ac:dyDescent="0.25">
      <c r="A278" s="3">
        <v>35976</v>
      </c>
      <c r="B278" s="29" t="e">
        <f>NA()</f>
        <v>#N/A</v>
      </c>
      <c r="C278" s="29" t="e">
        <v>#N/A</v>
      </c>
      <c r="D278" s="50">
        <f>48.9</f>
        <v>48.9</v>
      </c>
      <c r="E278" s="30">
        <v>48.9</v>
      </c>
      <c r="F278" s="29">
        <f>-7.1</f>
        <v>-7.1</v>
      </c>
      <c r="G278" s="31" t="e">
        <v>#N/A</v>
      </c>
      <c r="H278" s="51" t="e">
        <f t="shared" si="21"/>
        <v>#N/A</v>
      </c>
      <c r="I278" s="29">
        <f>13.3</f>
        <v>13.3</v>
      </c>
      <c r="J278" s="31">
        <v>78.680000000000007</v>
      </c>
      <c r="K278" s="51">
        <f t="shared" si="22"/>
        <v>0.13306451612903239</v>
      </c>
      <c r="L278" s="29">
        <f>7.5</f>
        <v>7.5</v>
      </c>
      <c r="M278" s="30">
        <v>7.5</v>
      </c>
      <c r="N278" s="29">
        <f>24.1</f>
        <v>24.1</v>
      </c>
      <c r="O278" s="29">
        <v>588006.19999999995</v>
      </c>
      <c r="P278" s="51">
        <f t="shared" si="20"/>
        <v>0.24051574531214448</v>
      </c>
      <c r="Q278" s="29">
        <f>-1.4</f>
        <v>-1.4</v>
      </c>
      <c r="R278" s="43">
        <v>43.8</v>
      </c>
      <c r="S278" s="32">
        <f t="shared" si="23"/>
        <v>-1.7937219730941797E-2</v>
      </c>
      <c r="T278" s="54" t="e">
        <f>VLOOKUP(A278,[1]인포맥스!$A:$I,9,0)</f>
        <v>#N/A</v>
      </c>
      <c r="U278" s="70" t="e">
        <f t="shared" si="24"/>
        <v>#N/A</v>
      </c>
    </row>
    <row r="279" spans="1:21" x14ac:dyDescent="0.25">
      <c r="A279" s="3">
        <v>35946</v>
      </c>
      <c r="B279" s="29" t="e">
        <f>NA()</f>
        <v>#N/A</v>
      </c>
      <c r="C279" s="29" t="e">
        <v>#N/A</v>
      </c>
      <c r="D279" s="50">
        <f>50.9</f>
        <v>50.9</v>
      </c>
      <c r="E279" s="30">
        <v>50.9</v>
      </c>
      <c r="F279" s="29">
        <f>-3.7</f>
        <v>-3.7</v>
      </c>
      <c r="G279" s="31" t="e">
        <v>#N/A</v>
      </c>
      <c r="H279" s="51" t="e">
        <f t="shared" si="21"/>
        <v>#N/A</v>
      </c>
      <c r="I279" s="29">
        <f>13.5</f>
        <v>13.5</v>
      </c>
      <c r="J279" s="31">
        <v>78.760000000000005</v>
      </c>
      <c r="K279" s="51">
        <f t="shared" si="22"/>
        <v>0.13536110710681851</v>
      </c>
      <c r="L279" s="29">
        <f>8.2</f>
        <v>8.1999999999999993</v>
      </c>
      <c r="M279" s="30">
        <v>8.1999999999999993</v>
      </c>
      <c r="N279" s="29">
        <f>22.9</f>
        <v>22.9</v>
      </c>
      <c r="O279" s="29">
        <v>575569.4</v>
      </c>
      <c r="P279" s="51">
        <f t="shared" si="20"/>
        <v>0.22852375716881509</v>
      </c>
      <c r="Q279" s="29">
        <f>-1.7</f>
        <v>-1.7</v>
      </c>
      <c r="R279" s="43">
        <v>43.6</v>
      </c>
      <c r="S279" s="32">
        <f t="shared" si="23"/>
        <v>-1.5801354401805773E-2</v>
      </c>
      <c r="T279" s="54" t="e">
        <f>VLOOKUP(A279,[1]인포맥스!$A:$I,9,0)</f>
        <v>#N/A</v>
      </c>
      <c r="U279" s="70" t="e">
        <f t="shared" si="24"/>
        <v>#N/A</v>
      </c>
    </row>
    <row r="280" spans="1:21" x14ac:dyDescent="0.25">
      <c r="A280" s="3">
        <v>35915</v>
      </c>
      <c r="B280" s="29" t="e">
        <f>NA()</f>
        <v>#N/A</v>
      </c>
      <c r="C280" s="29" t="e">
        <v>#N/A</v>
      </c>
      <c r="D280" s="50">
        <f>52.2</f>
        <v>52.2</v>
      </c>
      <c r="E280" s="30">
        <v>52.2</v>
      </c>
      <c r="F280" s="29">
        <f>5.8</f>
        <v>5.8</v>
      </c>
      <c r="G280" s="31" t="e">
        <v>#N/A</v>
      </c>
      <c r="H280" s="51" t="e">
        <f t="shared" si="21"/>
        <v>#N/A</v>
      </c>
      <c r="I280" s="29">
        <f>14.9</f>
        <v>14.9</v>
      </c>
      <c r="J280" s="31">
        <v>79.62</v>
      </c>
      <c r="K280" s="51">
        <f t="shared" si="22"/>
        <v>0.14908356184153554</v>
      </c>
      <c r="L280" s="29">
        <f>8.8</f>
        <v>8.8000000000000007</v>
      </c>
      <c r="M280" s="30">
        <v>8.8000000000000007</v>
      </c>
      <c r="N280" s="29">
        <f>23.5</f>
        <v>23.5</v>
      </c>
      <c r="O280" s="29">
        <v>570866.4</v>
      </c>
      <c r="P280" s="51">
        <f t="shared" si="20"/>
        <v>0.23467466386712751</v>
      </c>
      <c r="Q280" s="29">
        <f>-2</f>
        <v>-2</v>
      </c>
      <c r="R280" s="43">
        <v>43.3</v>
      </c>
      <c r="S280" s="32">
        <f t="shared" si="23"/>
        <v>-2.0361990950226373E-2</v>
      </c>
      <c r="T280" s="54" t="e">
        <f>VLOOKUP(A280,[1]인포맥스!$A:$I,9,0)</f>
        <v>#N/A</v>
      </c>
      <c r="U280" s="70" t="e">
        <f t="shared" si="24"/>
        <v>#N/A</v>
      </c>
    </row>
    <row r="281" spans="1:21" x14ac:dyDescent="0.25">
      <c r="A281" s="3">
        <v>35885</v>
      </c>
      <c r="B281" s="29" t="e">
        <f>NA()</f>
        <v>#N/A</v>
      </c>
      <c r="C281" s="29" t="e">
        <v>#N/A</v>
      </c>
      <c r="D281" s="50">
        <f>52.9</f>
        <v>52.9</v>
      </c>
      <c r="E281" s="30">
        <v>52.9</v>
      </c>
      <c r="F281" s="29">
        <f>6</f>
        <v>6</v>
      </c>
      <c r="G281" s="31" t="e">
        <v>#N/A</v>
      </c>
      <c r="H281" s="51" t="e">
        <f t="shared" si="21"/>
        <v>#N/A</v>
      </c>
      <c r="I281" s="29">
        <f>15.1</f>
        <v>15.1</v>
      </c>
      <c r="J281" s="31">
        <v>79.55</v>
      </c>
      <c r="K281" s="51">
        <f t="shared" si="22"/>
        <v>0.15123010130246026</v>
      </c>
      <c r="L281" s="29">
        <f>9</f>
        <v>9</v>
      </c>
      <c r="M281" s="30">
        <v>9</v>
      </c>
      <c r="N281" s="29">
        <f>22.5</f>
        <v>22.5</v>
      </c>
      <c r="O281" s="29">
        <v>562812.69999999995</v>
      </c>
      <c r="P281" s="51">
        <f t="shared" si="20"/>
        <v>0.22812388234629205</v>
      </c>
      <c r="Q281" s="29">
        <f>-2.8</f>
        <v>-2.8</v>
      </c>
      <c r="R281" s="43">
        <v>42.7</v>
      </c>
      <c r="S281" s="32">
        <f t="shared" si="23"/>
        <v>-2.2883295194508008E-2</v>
      </c>
      <c r="T281" s="54" t="e">
        <f>VLOOKUP(A281,[1]인포맥스!$A:$I,9,0)</f>
        <v>#N/A</v>
      </c>
      <c r="U281" s="70" t="e">
        <f t="shared" si="24"/>
        <v>#N/A</v>
      </c>
    </row>
    <row r="282" spans="1:21" x14ac:dyDescent="0.25">
      <c r="A282" s="3">
        <v>35854</v>
      </c>
      <c r="B282" s="29" t="e">
        <f>NA()</f>
        <v>#N/A</v>
      </c>
      <c r="C282" s="29" t="e">
        <v>#N/A</v>
      </c>
      <c r="D282" s="50">
        <f>52.9</f>
        <v>52.9</v>
      </c>
      <c r="E282" s="30">
        <v>52.9</v>
      </c>
      <c r="F282" s="29">
        <f>19.9</f>
        <v>19.899999999999999</v>
      </c>
      <c r="G282" s="31" t="e">
        <v>#N/A</v>
      </c>
      <c r="H282" s="51" t="e">
        <f t="shared" si="21"/>
        <v>#N/A</v>
      </c>
      <c r="I282" s="29">
        <f>15.3</f>
        <v>15.3</v>
      </c>
      <c r="J282" s="31">
        <v>79.72</v>
      </c>
      <c r="K282" s="51">
        <f t="shared" si="22"/>
        <v>0.15285610990600135</v>
      </c>
      <c r="L282" s="29">
        <f>9.5</f>
        <v>9.5</v>
      </c>
      <c r="M282" s="30">
        <v>9.5</v>
      </c>
      <c r="N282" s="29">
        <f>22.5</f>
        <v>22.5</v>
      </c>
      <c r="O282" s="29">
        <v>554341.80000000005</v>
      </c>
      <c r="P282" s="51">
        <f t="shared" si="20"/>
        <v>0.22533987741778047</v>
      </c>
      <c r="Q282" s="29">
        <f>-3</f>
        <v>-3</v>
      </c>
      <c r="R282" s="43">
        <v>42.4</v>
      </c>
      <c r="S282" s="32">
        <f t="shared" si="23"/>
        <v>-2.3041474654377881E-2</v>
      </c>
      <c r="T282" s="54" t="e">
        <f>VLOOKUP(A282,[1]인포맥스!$A:$I,9,0)</f>
        <v>#N/A</v>
      </c>
      <c r="U282" s="70" t="e">
        <f t="shared" si="24"/>
        <v>#N/A</v>
      </c>
    </row>
    <row r="283" spans="1:21" x14ac:dyDescent="0.25">
      <c r="A283" s="3">
        <v>35826</v>
      </c>
      <c r="B283" s="29" t="e">
        <f>NA()</f>
        <v>#N/A</v>
      </c>
      <c r="C283" s="29" t="e">
        <v>#N/A</v>
      </c>
      <c r="D283" s="50">
        <f>53.8</f>
        <v>53.8</v>
      </c>
      <c r="E283" s="30">
        <v>53.8</v>
      </c>
      <c r="F283" s="29">
        <f>-0.4</f>
        <v>-0.4</v>
      </c>
      <c r="G283" s="31" t="e">
        <v>#N/A</v>
      </c>
      <c r="H283" s="51" t="e">
        <f t="shared" si="21"/>
        <v>#N/A</v>
      </c>
      <c r="I283" s="29">
        <f>12.9</f>
        <v>12.9</v>
      </c>
      <c r="J283" s="31">
        <v>77.75</v>
      </c>
      <c r="K283" s="51">
        <f t="shared" si="22"/>
        <v>0.12893857993320743</v>
      </c>
      <c r="L283" s="29">
        <f>8.3</f>
        <v>8.3000000000000007</v>
      </c>
      <c r="M283" s="30">
        <v>8.3000000000000007</v>
      </c>
      <c r="N283" s="29">
        <f>21.4</f>
        <v>21.4</v>
      </c>
      <c r="O283" s="29">
        <v>540960.9</v>
      </c>
      <c r="P283" s="51">
        <f t="shared" si="20"/>
        <v>0.21381030027259978</v>
      </c>
      <c r="Q283" s="29">
        <f>-1.5</f>
        <v>-1.5</v>
      </c>
      <c r="R283" s="43">
        <v>42.9</v>
      </c>
      <c r="S283" s="32">
        <f t="shared" si="23"/>
        <v>-4.6403712296984416E-3</v>
      </c>
      <c r="T283" s="54" t="e">
        <f>VLOOKUP(A283,[1]인포맥스!$A:$I,9,0)</f>
        <v>#N/A</v>
      </c>
      <c r="U283" s="70" t="e">
        <f t="shared" si="24"/>
        <v>#N/A</v>
      </c>
    </row>
    <row r="284" spans="1:21" x14ac:dyDescent="0.25">
      <c r="A284" s="3">
        <v>35795</v>
      </c>
      <c r="B284" s="29" t="e">
        <f>NA()</f>
        <v>#N/A</v>
      </c>
      <c r="C284" s="29" t="e">
        <v>#N/A</v>
      </c>
      <c r="D284" s="50">
        <f>54.5</f>
        <v>54.5</v>
      </c>
      <c r="E284" s="30">
        <v>54.5</v>
      </c>
      <c r="F284" s="29">
        <f>1.7</f>
        <v>1.7</v>
      </c>
      <c r="G284" s="31" t="e">
        <v>#N/A</v>
      </c>
      <c r="H284" s="51" t="e">
        <f t="shared" si="21"/>
        <v>#N/A</v>
      </c>
      <c r="I284" s="29">
        <f>9.6</f>
        <v>9.6</v>
      </c>
      <c r="J284" s="31">
        <v>74.58</v>
      </c>
      <c r="K284" s="51">
        <f t="shared" si="22"/>
        <v>9.5797825448133936E-2</v>
      </c>
      <c r="L284" s="29">
        <f>6.6</f>
        <v>6.6</v>
      </c>
      <c r="M284" s="30">
        <v>6.6</v>
      </c>
      <c r="N284" s="29">
        <f>20</f>
        <v>20</v>
      </c>
      <c r="O284" s="29">
        <v>528649.80000000005</v>
      </c>
      <c r="P284" s="51">
        <f t="shared" si="20"/>
        <v>0.20006592249612004</v>
      </c>
      <c r="Q284" s="29">
        <f>1.2</f>
        <v>1.2</v>
      </c>
      <c r="R284" s="43">
        <v>43.9</v>
      </c>
      <c r="S284" s="32">
        <f t="shared" si="23"/>
        <v>2.0930232558139503E-2</v>
      </c>
      <c r="T284" s="54" t="e">
        <f>VLOOKUP(A284,[1]인포맥스!$A:$I,9,0)</f>
        <v>#N/A</v>
      </c>
      <c r="U284" s="70" t="e">
        <f t="shared" si="24"/>
        <v>#N/A</v>
      </c>
    </row>
    <row r="285" spans="1:21" x14ac:dyDescent="0.25">
      <c r="A285" s="3">
        <v>35764</v>
      </c>
      <c r="B285" s="29" t="e">
        <f>NA()</f>
        <v>#N/A</v>
      </c>
      <c r="C285" s="29" t="e">
        <v>#N/A</v>
      </c>
      <c r="D285" s="50">
        <f>55.7</f>
        <v>55.7</v>
      </c>
      <c r="E285" s="30">
        <v>55.7</v>
      </c>
      <c r="F285" s="29">
        <f>3.8</f>
        <v>3.8</v>
      </c>
      <c r="G285" s="31" t="e">
        <v>#N/A</v>
      </c>
      <c r="H285" s="51" t="e">
        <f t="shared" si="21"/>
        <v>#N/A</v>
      </c>
      <c r="I285" s="29">
        <f>3.2</f>
        <v>3.2</v>
      </c>
      <c r="J285" s="31">
        <v>70.02</v>
      </c>
      <c r="K285" s="51">
        <f t="shared" si="22"/>
        <v>3.1526222746022403E-2</v>
      </c>
      <c r="L285" s="29">
        <f>4.3</f>
        <v>4.3</v>
      </c>
      <c r="M285" s="30">
        <v>4.3</v>
      </c>
      <c r="N285" s="29">
        <f>18.8</f>
        <v>18.8</v>
      </c>
      <c r="O285" s="29">
        <v>516447.7</v>
      </c>
      <c r="P285" s="51">
        <f t="shared" si="20"/>
        <v>0.18799231050753926</v>
      </c>
      <c r="Q285" s="29">
        <f>3.8</f>
        <v>3.8</v>
      </c>
      <c r="R285" s="43">
        <v>44.9</v>
      </c>
      <c r="S285" s="32">
        <f t="shared" si="23"/>
        <v>5.399061032863843E-2</v>
      </c>
      <c r="T285" s="54" t="e">
        <f>VLOOKUP(A285,[1]인포맥스!$A:$I,9,0)</f>
        <v>#N/A</v>
      </c>
      <c r="U285" s="70" t="e">
        <f t="shared" si="24"/>
        <v>#N/A</v>
      </c>
    </row>
    <row r="286" spans="1:21" x14ac:dyDescent="0.25">
      <c r="A286" s="3">
        <v>35734</v>
      </c>
      <c r="B286" s="29" t="e">
        <f>NA()</f>
        <v>#N/A</v>
      </c>
      <c r="C286" s="29" t="e">
        <v>#N/A</v>
      </c>
      <c r="D286" s="50">
        <f>56.4</f>
        <v>56.4</v>
      </c>
      <c r="E286" s="30">
        <v>56.4</v>
      </c>
      <c r="F286" s="29">
        <f>5.2</f>
        <v>5.2</v>
      </c>
      <c r="G286" s="31" t="e">
        <v>#N/A</v>
      </c>
      <c r="H286" s="51" t="e">
        <f t="shared" si="21"/>
        <v>#N/A</v>
      </c>
      <c r="I286" s="29">
        <f>2.6</f>
        <v>2.6</v>
      </c>
      <c r="J286" s="31">
        <v>69.650000000000006</v>
      </c>
      <c r="K286" s="51">
        <f t="shared" si="22"/>
        <v>2.6377836722664402E-2</v>
      </c>
      <c r="L286" s="29">
        <f>4.2</f>
        <v>4.2</v>
      </c>
      <c r="M286" s="30">
        <v>4.2</v>
      </c>
      <c r="N286" s="29">
        <f>18.4</f>
        <v>18.399999999999999</v>
      </c>
      <c r="O286" s="29">
        <v>506790.9</v>
      </c>
      <c r="P286" s="51">
        <f t="shared" si="20"/>
        <v>0.18386711483740573</v>
      </c>
      <c r="Q286" s="29">
        <f>4.7</f>
        <v>4.7</v>
      </c>
      <c r="R286" s="43">
        <v>45.2</v>
      </c>
      <c r="S286" s="32">
        <f t="shared" si="23"/>
        <v>6.1032863849765293E-2</v>
      </c>
      <c r="T286" s="54" t="e">
        <f>VLOOKUP(A286,[1]인포맥스!$A:$I,9,0)</f>
        <v>#N/A</v>
      </c>
      <c r="U286" s="70" t="e">
        <f t="shared" si="24"/>
        <v>#N/A</v>
      </c>
    </row>
    <row r="287" spans="1:21" x14ac:dyDescent="0.25">
      <c r="A287" s="3">
        <v>35703</v>
      </c>
      <c r="B287" s="29" t="e">
        <f>NA()</f>
        <v>#N/A</v>
      </c>
      <c r="C287" s="29" t="e">
        <v>#N/A</v>
      </c>
      <c r="D287" s="50">
        <f>53.9</f>
        <v>53.9</v>
      </c>
      <c r="E287" s="30">
        <v>53.9</v>
      </c>
      <c r="F287" s="29">
        <f>13.4</f>
        <v>13.4</v>
      </c>
      <c r="G287" s="31" t="e">
        <v>#N/A</v>
      </c>
      <c r="H287" s="51" t="e">
        <f t="shared" si="21"/>
        <v>#N/A</v>
      </c>
      <c r="I287" s="29">
        <f>2.9</f>
        <v>2.9</v>
      </c>
      <c r="J287" s="31">
        <v>69.790000000000006</v>
      </c>
      <c r="K287" s="51">
        <f t="shared" si="22"/>
        <v>2.8895768833849447E-2</v>
      </c>
      <c r="L287" s="29">
        <f>4.2</f>
        <v>4.2</v>
      </c>
      <c r="M287" s="30">
        <v>4.2</v>
      </c>
      <c r="N287" s="29">
        <f>18</f>
        <v>18</v>
      </c>
      <c r="O287" s="29">
        <v>501749.8</v>
      </c>
      <c r="P287" s="51">
        <f t="shared" si="20"/>
        <v>0.179642108079476</v>
      </c>
      <c r="Q287" s="29">
        <f>5.1</f>
        <v>5.0999999999999996</v>
      </c>
      <c r="R287" s="43">
        <v>45.2</v>
      </c>
      <c r="S287" s="32">
        <f t="shared" si="23"/>
        <v>5.6074766355140325E-2</v>
      </c>
      <c r="T287" s="54" t="e">
        <f>VLOOKUP(A287,[1]인포맥스!$A:$I,9,0)</f>
        <v>#N/A</v>
      </c>
      <c r="U287" s="70" t="e">
        <f t="shared" si="24"/>
        <v>#N/A</v>
      </c>
    </row>
    <row r="288" spans="1:21" x14ac:dyDescent="0.25">
      <c r="A288" s="3">
        <v>35673</v>
      </c>
      <c r="B288" s="29" t="e">
        <f>NA()</f>
        <v>#N/A</v>
      </c>
      <c r="C288" s="29" t="e">
        <v>#N/A</v>
      </c>
      <c r="D288" s="50">
        <f>56.3</f>
        <v>56.3</v>
      </c>
      <c r="E288" s="30">
        <v>56.3</v>
      </c>
      <c r="F288" s="29">
        <f>14</f>
        <v>14</v>
      </c>
      <c r="G288" s="31" t="e">
        <v>#N/A</v>
      </c>
      <c r="H288" s="51" t="e">
        <f t="shared" si="21"/>
        <v>#N/A</v>
      </c>
      <c r="I288" s="29">
        <f>2.8</f>
        <v>2.8</v>
      </c>
      <c r="J288" s="31">
        <v>69.58</v>
      </c>
      <c r="K288" s="51">
        <f t="shared" si="22"/>
        <v>2.7921406411582222E-2</v>
      </c>
      <c r="L288" s="29">
        <f>4</f>
        <v>4</v>
      </c>
      <c r="M288" s="30">
        <v>4</v>
      </c>
      <c r="N288" s="29">
        <f>17.7</f>
        <v>17.7</v>
      </c>
      <c r="O288" s="29">
        <v>490619.5</v>
      </c>
      <c r="P288" s="51">
        <f t="shared" si="20"/>
        <v>0.17689468074822198</v>
      </c>
      <c r="Q288" s="29">
        <f>5.1</f>
        <v>5.0999999999999996</v>
      </c>
      <c r="R288" s="43">
        <v>45.1</v>
      </c>
      <c r="S288" s="32">
        <f t="shared" si="23"/>
        <v>4.8837209302325615E-2</v>
      </c>
      <c r="T288" s="54" t="e">
        <f>VLOOKUP(A288,[1]인포맥스!$A:$I,9,0)</f>
        <v>#N/A</v>
      </c>
      <c r="U288" s="70" t="e">
        <f t="shared" si="24"/>
        <v>#N/A</v>
      </c>
    </row>
    <row r="289" spans="1:21" x14ac:dyDescent="0.25">
      <c r="A289" s="3">
        <v>35642</v>
      </c>
      <c r="B289" s="29" t="e">
        <f>NA()</f>
        <v>#N/A</v>
      </c>
      <c r="C289" s="29" t="e">
        <v>#N/A</v>
      </c>
      <c r="D289" s="50">
        <f>57.7</f>
        <v>57.7</v>
      </c>
      <c r="E289" s="30">
        <v>57.7</v>
      </c>
      <c r="F289" s="29">
        <f>19.3</f>
        <v>19.3</v>
      </c>
      <c r="G289" s="31" t="e">
        <v>#N/A</v>
      </c>
      <c r="H289" s="51" t="e">
        <f t="shared" si="21"/>
        <v>#N/A</v>
      </c>
      <c r="I289" s="29">
        <f>2.7</f>
        <v>2.7</v>
      </c>
      <c r="J289" s="31">
        <v>69.44</v>
      </c>
      <c r="K289" s="51">
        <f t="shared" si="22"/>
        <v>2.6915113871635508E-2</v>
      </c>
      <c r="L289" s="29">
        <f>3.7</f>
        <v>3.7</v>
      </c>
      <c r="M289" s="30">
        <v>3.7</v>
      </c>
      <c r="N289" s="29">
        <f>17.3</f>
        <v>17.3</v>
      </c>
      <c r="O289" s="29">
        <v>483787.2</v>
      </c>
      <c r="P289" s="51">
        <f t="shared" si="20"/>
        <v>0.1729328995775099</v>
      </c>
      <c r="Q289" s="29">
        <f>4.5</f>
        <v>4.5</v>
      </c>
      <c r="R289" s="43">
        <v>44.8</v>
      </c>
      <c r="S289" s="32">
        <f t="shared" si="23"/>
        <v>4.428904428904426E-2</v>
      </c>
      <c r="T289" s="54" t="e">
        <f>VLOOKUP(A289,[1]인포맥스!$A:$I,9,0)</f>
        <v>#N/A</v>
      </c>
      <c r="U289" s="70" t="e">
        <f t="shared" si="24"/>
        <v>#N/A</v>
      </c>
    </row>
    <row r="290" spans="1:21" x14ac:dyDescent="0.25">
      <c r="A290" s="3">
        <v>35611</v>
      </c>
      <c r="B290" s="29" t="e">
        <f>NA()</f>
        <v>#N/A</v>
      </c>
      <c r="C290" s="29" t="e">
        <v>#N/A</v>
      </c>
      <c r="D290" s="50">
        <f>54.9</f>
        <v>54.9</v>
      </c>
      <c r="E290" s="30">
        <v>54.9</v>
      </c>
      <c r="F290" s="29">
        <f>9.6</f>
        <v>9.6</v>
      </c>
      <c r="G290" s="31" t="e">
        <v>#N/A</v>
      </c>
      <c r="H290" s="51" t="e">
        <f t="shared" si="21"/>
        <v>#N/A</v>
      </c>
      <c r="I290" s="29">
        <f>3.4</f>
        <v>3.4</v>
      </c>
      <c r="J290" s="31">
        <v>69.44</v>
      </c>
      <c r="K290" s="51">
        <f t="shared" si="22"/>
        <v>3.4410844629822766E-2</v>
      </c>
      <c r="L290" s="29">
        <f>4</f>
        <v>4</v>
      </c>
      <c r="M290" s="30">
        <v>4</v>
      </c>
      <c r="N290" s="29">
        <f>16.9</f>
        <v>16.899999999999999</v>
      </c>
      <c r="O290" s="29">
        <v>474001.4</v>
      </c>
      <c r="P290" s="51">
        <f t="shared" si="20"/>
        <v>0.16949021233339753</v>
      </c>
      <c r="Q290" s="29">
        <f>4.2</f>
        <v>4.2</v>
      </c>
      <c r="R290" s="43">
        <v>44.6</v>
      </c>
      <c r="S290" s="32">
        <f t="shared" si="23"/>
        <v>4.4496487119437905E-2</v>
      </c>
      <c r="T290" s="54" t="e">
        <f>VLOOKUP(A290,[1]인포맥스!$A:$I,9,0)</f>
        <v>#N/A</v>
      </c>
      <c r="U290" s="70" t="e">
        <f t="shared" si="24"/>
        <v>#N/A</v>
      </c>
    </row>
    <row r="291" spans="1:21" x14ac:dyDescent="0.25">
      <c r="A291" s="3">
        <v>35581</v>
      </c>
      <c r="B291" s="29" t="e">
        <f>NA()</f>
        <v>#N/A</v>
      </c>
      <c r="C291" s="29" t="e">
        <v>#N/A</v>
      </c>
      <c r="D291" s="50">
        <f>56.1</f>
        <v>56.1</v>
      </c>
      <c r="E291" s="30">
        <v>56.1</v>
      </c>
      <c r="F291" s="29">
        <f>4.5</f>
        <v>4.5</v>
      </c>
      <c r="G291" s="31" t="e">
        <v>#N/A</v>
      </c>
      <c r="H291" s="51" t="e">
        <f t="shared" si="21"/>
        <v>#N/A</v>
      </c>
      <c r="I291" s="29">
        <f>3.7</f>
        <v>3.7</v>
      </c>
      <c r="J291" s="31">
        <v>69.37</v>
      </c>
      <c r="K291" s="51">
        <f t="shared" si="22"/>
        <v>3.6610878661087906E-2</v>
      </c>
      <c r="L291" s="29">
        <f>3.8</f>
        <v>3.8</v>
      </c>
      <c r="M291" s="30">
        <v>3.8</v>
      </c>
      <c r="N291" s="29">
        <f>16.9</f>
        <v>16.899999999999999</v>
      </c>
      <c r="O291" s="29">
        <v>468504.9</v>
      </c>
      <c r="P291" s="51">
        <f t="shared" si="20"/>
        <v>0.16920561731913578</v>
      </c>
      <c r="Q291" s="29">
        <f>3.6</f>
        <v>3.6</v>
      </c>
      <c r="R291" s="43">
        <v>44.3</v>
      </c>
      <c r="S291" s="32">
        <f t="shared" si="23"/>
        <v>3.2634032634032605E-2</v>
      </c>
      <c r="T291" s="54" t="e">
        <f>VLOOKUP(A291,[1]인포맥스!$A:$I,9,0)</f>
        <v>#N/A</v>
      </c>
      <c r="U291" s="70" t="e">
        <f t="shared" si="24"/>
        <v>#N/A</v>
      </c>
    </row>
    <row r="292" spans="1:21" x14ac:dyDescent="0.25">
      <c r="A292" s="3">
        <v>35550</v>
      </c>
      <c r="B292" s="29" t="e">
        <f>NA()</f>
        <v>#N/A</v>
      </c>
      <c r="C292" s="29" t="e">
        <v>#N/A</v>
      </c>
      <c r="D292" s="50">
        <f>53.7</f>
        <v>53.7</v>
      </c>
      <c r="E292" s="30">
        <v>53.7</v>
      </c>
      <c r="F292" s="29">
        <f>7.1</f>
        <v>7.1</v>
      </c>
      <c r="G292" s="31" t="e">
        <v>#N/A</v>
      </c>
      <c r="H292" s="51" t="e">
        <f t="shared" si="21"/>
        <v>#N/A</v>
      </c>
      <c r="I292" s="29">
        <f>3.6</f>
        <v>3.6</v>
      </c>
      <c r="J292" s="31">
        <v>69.290000000000006</v>
      </c>
      <c r="K292" s="51">
        <f t="shared" si="22"/>
        <v>3.6034688995215475E-2</v>
      </c>
      <c r="L292" s="29">
        <f>4.3</f>
        <v>4.3</v>
      </c>
      <c r="M292" s="30">
        <v>4.3</v>
      </c>
      <c r="N292" s="29">
        <f>16.8</f>
        <v>16.8</v>
      </c>
      <c r="O292" s="29">
        <v>462361.8</v>
      </c>
      <c r="P292" s="51">
        <f t="shared" si="20"/>
        <v>0.16759946817308868</v>
      </c>
      <c r="Q292" s="29">
        <f>3.3</f>
        <v>3.3</v>
      </c>
      <c r="R292" s="43">
        <v>44.2</v>
      </c>
      <c r="S292" s="32">
        <f t="shared" si="23"/>
        <v>3.0303030303030404E-2</v>
      </c>
      <c r="T292" s="54" t="e">
        <f>VLOOKUP(A292,[1]인포맥스!$A:$I,9,0)</f>
        <v>#N/A</v>
      </c>
      <c r="U292" s="70" t="e">
        <f t="shared" si="24"/>
        <v>#N/A</v>
      </c>
    </row>
    <row r="293" spans="1:21" x14ac:dyDescent="0.25">
      <c r="A293" s="3">
        <v>35520</v>
      </c>
      <c r="B293" s="29" t="e">
        <f>NA()</f>
        <v>#N/A</v>
      </c>
      <c r="C293" s="29" t="e">
        <v>#N/A</v>
      </c>
      <c r="D293" s="50">
        <f>53.8</f>
        <v>53.8</v>
      </c>
      <c r="E293" s="30">
        <v>53.8</v>
      </c>
      <c r="F293" s="29">
        <f>-3.1</f>
        <v>-3.1</v>
      </c>
      <c r="G293" s="31" t="e">
        <v>#N/A</v>
      </c>
      <c r="H293" s="51" t="e">
        <f t="shared" si="21"/>
        <v>#N/A</v>
      </c>
      <c r="I293" s="29">
        <f>3.8</f>
        <v>3.8</v>
      </c>
      <c r="J293" s="31">
        <v>69.099999999999994</v>
      </c>
      <c r="K293" s="51">
        <f t="shared" si="22"/>
        <v>3.8005107405738342E-2</v>
      </c>
      <c r="L293" s="29">
        <f>4.5</f>
        <v>4.5</v>
      </c>
      <c r="M293" s="30">
        <v>4.5</v>
      </c>
      <c r="N293" s="29">
        <f>18.3</f>
        <v>18.3</v>
      </c>
      <c r="O293" s="29">
        <v>458270.3</v>
      </c>
      <c r="P293" s="51">
        <f t="shared" si="20"/>
        <v>0.18144944857822429</v>
      </c>
      <c r="Q293" s="29">
        <f>2.3</f>
        <v>2.2999999999999998</v>
      </c>
      <c r="R293" s="43">
        <v>43.7</v>
      </c>
      <c r="S293" s="32">
        <f t="shared" si="23"/>
        <v>2.1028037383177704E-2</v>
      </c>
      <c r="T293" s="54" t="e">
        <f>VLOOKUP(A293,[1]인포맥스!$A:$I,9,0)</f>
        <v>#N/A</v>
      </c>
      <c r="U293" s="70" t="e">
        <f t="shared" si="24"/>
        <v>#N/A</v>
      </c>
    </row>
    <row r="294" spans="1:21" x14ac:dyDescent="0.25">
      <c r="A294" s="3">
        <v>35489</v>
      </c>
      <c r="B294" s="29" t="e">
        <f>NA()</f>
        <v>#N/A</v>
      </c>
      <c r="C294" s="29" t="e">
        <v>#N/A</v>
      </c>
      <c r="D294" s="50">
        <f>53.1</f>
        <v>53.1</v>
      </c>
      <c r="E294" s="30">
        <v>53.1</v>
      </c>
      <c r="F294" s="29">
        <f>-5.3</f>
        <v>-5.3</v>
      </c>
      <c r="G294" s="31" t="e">
        <v>#N/A</v>
      </c>
      <c r="H294" s="51" t="e">
        <f t="shared" si="21"/>
        <v>#N/A</v>
      </c>
      <c r="I294" s="29">
        <f>3.6</f>
        <v>3.6</v>
      </c>
      <c r="J294" s="31">
        <v>69.150000000000006</v>
      </c>
      <c r="K294" s="51">
        <f t="shared" si="22"/>
        <v>3.6110278693437386E-2</v>
      </c>
      <c r="L294" s="29">
        <f>4.9</f>
        <v>4.9000000000000004</v>
      </c>
      <c r="M294" s="30">
        <v>4.9000000000000004</v>
      </c>
      <c r="N294" s="29">
        <f>18.3</f>
        <v>18.3</v>
      </c>
      <c r="O294" s="29">
        <v>452398.4</v>
      </c>
      <c r="P294" s="51">
        <f t="shared" si="20"/>
        <v>0.18321265341083706</v>
      </c>
      <c r="Q294" s="29">
        <f>1.8</f>
        <v>1.8</v>
      </c>
      <c r="R294" s="43">
        <v>43.4</v>
      </c>
      <c r="S294" s="32">
        <f t="shared" si="23"/>
        <v>1.8779342723004626E-2</v>
      </c>
      <c r="T294" s="54" t="e">
        <f>VLOOKUP(A294,[1]인포맥스!$A:$I,9,0)</f>
        <v>#N/A</v>
      </c>
      <c r="U294" s="70" t="e">
        <f t="shared" si="24"/>
        <v>#N/A</v>
      </c>
    </row>
    <row r="295" spans="1:21" x14ac:dyDescent="0.25">
      <c r="A295" s="3">
        <v>35461</v>
      </c>
      <c r="B295" s="29" t="e">
        <f>NA()</f>
        <v>#N/A</v>
      </c>
      <c r="C295" s="29" t="e">
        <v>#N/A</v>
      </c>
      <c r="D295" s="50">
        <f>53.8</f>
        <v>53.8</v>
      </c>
      <c r="E295" s="30">
        <v>53.8</v>
      </c>
      <c r="F295" s="29">
        <f>-9</f>
        <v>-9</v>
      </c>
      <c r="G295" s="31" t="e">
        <v>#N/A</v>
      </c>
      <c r="H295" s="51" t="e">
        <f t="shared" si="21"/>
        <v>#N/A</v>
      </c>
      <c r="I295" s="29">
        <f>3.5</f>
        <v>3.5</v>
      </c>
      <c r="J295" s="31">
        <v>68.87</v>
      </c>
      <c r="K295" s="51">
        <f t="shared" si="22"/>
        <v>3.5483385956998938E-2</v>
      </c>
      <c r="L295" s="29">
        <f>4.7</f>
        <v>4.7</v>
      </c>
      <c r="M295" s="30">
        <v>4.7</v>
      </c>
      <c r="N295" s="29">
        <f>18</f>
        <v>18</v>
      </c>
      <c r="O295" s="29">
        <v>445671.7</v>
      </c>
      <c r="P295" s="51">
        <f t="shared" si="20"/>
        <v>0.18017055169657978</v>
      </c>
      <c r="Q295" s="29">
        <f>1.2</f>
        <v>1.2</v>
      </c>
      <c r="R295" s="43">
        <v>43.1</v>
      </c>
      <c r="S295" s="32">
        <f t="shared" si="23"/>
        <v>1.4117647058823563E-2</v>
      </c>
      <c r="T295" s="54" t="e">
        <f>VLOOKUP(A295,[1]인포맥스!$A:$I,9,0)</f>
        <v>#N/A</v>
      </c>
      <c r="U295" s="70" t="e">
        <f t="shared" si="24"/>
        <v>#N/A</v>
      </c>
    </row>
    <row r="296" spans="1:21" x14ac:dyDescent="0.25">
      <c r="A296" s="3">
        <v>35430</v>
      </c>
      <c r="B296" s="29" t="e">
        <f>NA()</f>
        <v>#N/A</v>
      </c>
      <c r="C296" s="29" t="e">
        <v>#N/A</v>
      </c>
      <c r="D296" s="50">
        <f>55.2</f>
        <v>55.2</v>
      </c>
      <c r="E296" s="30">
        <v>55.2</v>
      </c>
      <c r="F296" s="29">
        <f>3.9</f>
        <v>3.9</v>
      </c>
      <c r="G296" s="31" t="e">
        <v>#N/A</v>
      </c>
      <c r="H296" s="51" t="e">
        <f t="shared" si="21"/>
        <v>#N/A</v>
      </c>
      <c r="I296" s="29">
        <f>3.6</f>
        <v>3.6</v>
      </c>
      <c r="J296" s="31">
        <v>68.06</v>
      </c>
      <c r="K296" s="51">
        <f t="shared" si="22"/>
        <v>3.6236297198538298E-2</v>
      </c>
      <c r="L296" s="29">
        <f>4.9</f>
        <v>4.9000000000000004</v>
      </c>
      <c r="M296" s="30">
        <v>4.9000000000000004</v>
      </c>
      <c r="N296" s="29">
        <f>17.6</f>
        <v>17.600000000000001</v>
      </c>
      <c r="O296" s="29">
        <v>440517.3</v>
      </c>
      <c r="P296" s="51">
        <f t="shared" si="20"/>
        <v>0.17622683918740203</v>
      </c>
      <c r="Q296" s="29">
        <f>1.3</f>
        <v>1.3</v>
      </c>
      <c r="R296" s="43">
        <v>43</v>
      </c>
      <c r="S296" s="32">
        <f t="shared" si="23"/>
        <v>1.4150943396226448E-2</v>
      </c>
      <c r="T296" s="54" t="e">
        <f>VLOOKUP(A296,[1]인포맥스!$A:$I,9,0)</f>
        <v>#N/A</v>
      </c>
      <c r="U296" s="70" t="e">
        <f t="shared" si="24"/>
        <v>#N/A</v>
      </c>
    </row>
    <row r="297" spans="1:21" x14ac:dyDescent="0.25">
      <c r="A297" s="3">
        <v>35399</v>
      </c>
      <c r="B297" s="29" t="e">
        <f>NA()</f>
        <v>#N/A</v>
      </c>
      <c r="C297" s="29" t="e">
        <v>#N/A</v>
      </c>
      <c r="D297" s="50">
        <f>53</f>
        <v>53</v>
      </c>
      <c r="E297" s="30">
        <v>53</v>
      </c>
      <c r="F297" s="29">
        <f>-0.6</f>
        <v>-0.6</v>
      </c>
      <c r="G297" s="31" t="e">
        <v>#N/A</v>
      </c>
      <c r="H297" s="51" t="e">
        <f t="shared" si="21"/>
        <v>#N/A</v>
      </c>
      <c r="I297" s="29">
        <f>3.8</f>
        <v>3.8</v>
      </c>
      <c r="J297" s="31">
        <v>67.88</v>
      </c>
      <c r="K297" s="51">
        <f t="shared" si="22"/>
        <v>3.760317945582381E-2</v>
      </c>
      <c r="L297" s="29">
        <f>5.3</f>
        <v>5.3</v>
      </c>
      <c r="M297" s="30">
        <v>5.3</v>
      </c>
      <c r="N297" s="29">
        <f>19.1</f>
        <v>19.100000000000001</v>
      </c>
      <c r="O297" s="29">
        <v>434723.1</v>
      </c>
      <c r="P297" s="51">
        <f t="shared" si="20"/>
        <v>0.19107995100036354</v>
      </c>
      <c r="Q297" s="29">
        <f>0.7</f>
        <v>0.7</v>
      </c>
      <c r="R297" s="43">
        <v>42.6</v>
      </c>
      <c r="S297" s="32">
        <f t="shared" si="23"/>
        <v>7.092198581560385E-3</v>
      </c>
      <c r="T297" s="54" t="e">
        <f>VLOOKUP(A297,[1]인포맥스!$A:$I,9,0)</f>
        <v>#N/A</v>
      </c>
      <c r="U297" s="70" t="e">
        <f t="shared" si="24"/>
        <v>#N/A</v>
      </c>
    </row>
    <row r="298" spans="1:21" x14ac:dyDescent="0.25">
      <c r="A298" s="3">
        <v>35369</v>
      </c>
      <c r="B298" s="29" t="e">
        <f>NA()</f>
        <v>#N/A</v>
      </c>
      <c r="C298" s="29" t="e">
        <v>#N/A</v>
      </c>
      <c r="D298" s="50">
        <f>50.5</f>
        <v>50.5</v>
      </c>
      <c r="E298" s="30">
        <v>50.5</v>
      </c>
      <c r="F298" s="29">
        <f>2.8</f>
        <v>2.8</v>
      </c>
      <c r="G298" s="31" t="e">
        <v>#N/A</v>
      </c>
      <c r="H298" s="51" t="e">
        <f t="shared" si="21"/>
        <v>#N/A</v>
      </c>
      <c r="I298" s="29">
        <f>3.4</f>
        <v>3.4</v>
      </c>
      <c r="J298" s="31">
        <v>67.86</v>
      </c>
      <c r="K298" s="51">
        <f t="shared" si="22"/>
        <v>3.3978363553253149E-2</v>
      </c>
      <c r="L298" s="29">
        <f>5</f>
        <v>5</v>
      </c>
      <c r="M298" s="30">
        <v>5</v>
      </c>
      <c r="N298" s="29">
        <f>19.8</f>
        <v>19.8</v>
      </c>
      <c r="O298" s="29">
        <v>428080.9</v>
      </c>
      <c r="P298" s="51">
        <f t="shared" si="20"/>
        <v>0.19809466181772586</v>
      </c>
      <c r="Q298" s="29">
        <f>1.2</f>
        <v>1.2</v>
      </c>
      <c r="R298" s="43">
        <v>42.6</v>
      </c>
      <c r="S298" s="32">
        <f t="shared" si="23"/>
        <v>1.1876484560570071E-2</v>
      </c>
      <c r="T298" s="54" t="e">
        <f>VLOOKUP(A298,[1]인포맥스!$A:$I,9,0)</f>
        <v>#N/A</v>
      </c>
      <c r="U298" s="70" t="e">
        <f t="shared" si="24"/>
        <v>#N/A</v>
      </c>
    </row>
    <row r="299" spans="1:21" x14ac:dyDescent="0.25">
      <c r="A299" s="3">
        <v>35338</v>
      </c>
      <c r="B299" s="29" t="e">
        <f>NA()</f>
        <v>#N/A</v>
      </c>
      <c r="C299" s="29" t="e">
        <v>#N/A</v>
      </c>
      <c r="D299" s="50">
        <f>51.1</f>
        <v>51.1</v>
      </c>
      <c r="E299" s="30">
        <v>51.1</v>
      </c>
      <c r="F299" s="29">
        <f>-9</f>
        <v>-9</v>
      </c>
      <c r="G299" s="31" t="e">
        <v>#N/A</v>
      </c>
      <c r="H299" s="51" t="e">
        <f t="shared" si="21"/>
        <v>#N/A</v>
      </c>
      <c r="I299" s="29">
        <f>2.9</f>
        <v>2.9</v>
      </c>
      <c r="J299" s="31">
        <v>67.83</v>
      </c>
      <c r="K299" s="51">
        <f t="shared" si="22"/>
        <v>2.8974514563106745E-2</v>
      </c>
      <c r="L299" s="29">
        <f>4.5</f>
        <v>4.5</v>
      </c>
      <c r="M299" s="30">
        <v>4.5</v>
      </c>
      <c r="N299" s="29">
        <f>20.9</f>
        <v>20.9</v>
      </c>
      <c r="O299" s="29">
        <v>425340.7</v>
      </c>
      <c r="P299" s="51">
        <f t="shared" si="20"/>
        <v>0.20877870752343716</v>
      </c>
      <c r="Q299" s="29">
        <f>2</f>
        <v>2</v>
      </c>
      <c r="R299" s="43">
        <v>42.8</v>
      </c>
      <c r="S299" s="32">
        <f t="shared" si="23"/>
        <v>1.904761904761898E-2</v>
      </c>
      <c r="T299" s="54" t="e">
        <f>VLOOKUP(A299,[1]인포맥스!$A:$I,9,0)</f>
        <v>#N/A</v>
      </c>
      <c r="U299" s="70" t="e">
        <f t="shared" si="24"/>
        <v>#N/A</v>
      </c>
    </row>
    <row r="300" spans="1:21" x14ac:dyDescent="0.25">
      <c r="A300" s="3">
        <v>35308</v>
      </c>
      <c r="B300" s="29" t="e">
        <f>NA()</f>
        <v>#N/A</v>
      </c>
      <c r="C300" s="29" t="e">
        <v>#N/A</v>
      </c>
      <c r="D300" s="50">
        <f>51.6</f>
        <v>51.6</v>
      </c>
      <c r="E300" s="30">
        <v>51.6</v>
      </c>
      <c r="F300" s="29">
        <f>-8.7</f>
        <v>-8.6999999999999993</v>
      </c>
      <c r="G300" s="31" t="e">
        <v>#N/A</v>
      </c>
      <c r="H300" s="51" t="e">
        <f t="shared" si="21"/>
        <v>#N/A</v>
      </c>
      <c r="I300" s="29">
        <f>3.4</f>
        <v>3.4</v>
      </c>
      <c r="J300" s="31">
        <v>67.69</v>
      </c>
      <c r="K300" s="51">
        <f t="shared" si="22"/>
        <v>3.3592914948847197E-2</v>
      </c>
      <c r="L300" s="29">
        <f>5.3</f>
        <v>5.3</v>
      </c>
      <c r="M300" s="30">
        <v>5.3</v>
      </c>
      <c r="N300" s="29">
        <f>21</f>
        <v>21</v>
      </c>
      <c r="O300" s="29">
        <v>416876.3</v>
      </c>
      <c r="P300" s="51">
        <f t="shared" si="20"/>
        <v>0.20989980101835867</v>
      </c>
      <c r="Q300" s="29">
        <f>2.9</f>
        <v>2.9</v>
      </c>
      <c r="R300" s="43">
        <v>43</v>
      </c>
      <c r="S300" s="32">
        <f t="shared" si="23"/>
        <v>2.8708133971291936E-2</v>
      </c>
      <c r="T300" s="54" t="e">
        <f>VLOOKUP(A300,[1]인포맥스!$A:$I,9,0)</f>
        <v>#N/A</v>
      </c>
      <c r="U300" s="70" t="e">
        <f t="shared" si="24"/>
        <v>#N/A</v>
      </c>
    </row>
    <row r="301" spans="1:21" x14ac:dyDescent="0.25">
      <c r="A301" s="3">
        <v>35277</v>
      </c>
      <c r="B301" s="29" t="e">
        <f>NA()</f>
        <v>#N/A</v>
      </c>
      <c r="C301" s="29" t="e">
        <v>#N/A</v>
      </c>
      <c r="D301" s="50">
        <f>49.7</f>
        <v>49.7</v>
      </c>
      <c r="E301" s="30">
        <v>49.7</v>
      </c>
      <c r="F301" s="29">
        <f>-5.6</f>
        <v>-5.6</v>
      </c>
      <c r="G301" s="31" t="e">
        <v>#N/A</v>
      </c>
      <c r="H301" s="51" t="e">
        <f t="shared" si="21"/>
        <v>#N/A</v>
      </c>
      <c r="I301" s="29">
        <f>3.3</f>
        <v>3.3</v>
      </c>
      <c r="J301" s="31">
        <v>67.62</v>
      </c>
      <c r="K301" s="51">
        <f t="shared" si="22"/>
        <v>3.2681734880879665E-2</v>
      </c>
      <c r="L301" s="29">
        <f>5.4</f>
        <v>5.4</v>
      </c>
      <c r="M301" s="30">
        <v>5.4</v>
      </c>
      <c r="N301" s="29">
        <f>21.5</f>
        <v>21.5</v>
      </c>
      <c r="O301" s="29">
        <v>412459.4</v>
      </c>
      <c r="P301" s="51">
        <f t="shared" si="20"/>
        <v>0.21525544679544631</v>
      </c>
      <c r="Q301" s="29">
        <f>3.1</f>
        <v>3.1</v>
      </c>
      <c r="R301" s="43">
        <v>42.9</v>
      </c>
      <c r="S301" s="32">
        <f t="shared" si="23"/>
        <v>3.373493975903611E-2</v>
      </c>
      <c r="T301" s="54" t="e">
        <f>VLOOKUP(A301,[1]인포맥스!$A:$I,9,0)</f>
        <v>#N/A</v>
      </c>
      <c r="U301" s="70" t="e">
        <f t="shared" si="24"/>
        <v>#N/A</v>
      </c>
    </row>
    <row r="302" spans="1:21" x14ac:dyDescent="0.25">
      <c r="A302" s="3">
        <v>35246</v>
      </c>
      <c r="B302" s="29" t="e">
        <f>NA()</f>
        <v>#N/A</v>
      </c>
      <c r="C302" s="29" t="e">
        <v>#N/A</v>
      </c>
      <c r="D302" s="50">
        <f>53.6</f>
        <v>53.6</v>
      </c>
      <c r="E302" s="30">
        <v>53.6</v>
      </c>
      <c r="F302" s="29">
        <f>0.5</f>
        <v>0.5</v>
      </c>
      <c r="G302" s="31" t="e">
        <v>#N/A</v>
      </c>
      <c r="H302" s="51" t="e">
        <f t="shared" si="21"/>
        <v>#N/A</v>
      </c>
      <c r="I302" s="29">
        <f>2.7</f>
        <v>2.7</v>
      </c>
      <c r="J302" s="31">
        <v>67.13</v>
      </c>
      <c r="K302" s="51">
        <f t="shared" si="22"/>
        <v>2.7080783353733109E-2</v>
      </c>
      <c r="L302" s="29">
        <f>5.2</f>
        <v>5.2</v>
      </c>
      <c r="M302" s="30">
        <v>5.2</v>
      </c>
      <c r="N302" s="29">
        <f>21.9</f>
        <v>21.9</v>
      </c>
      <c r="O302" s="29">
        <v>405306</v>
      </c>
      <c r="P302" s="51">
        <f t="shared" si="20"/>
        <v>0.21865204586489789</v>
      </c>
      <c r="Q302" s="29">
        <f>3.3</f>
        <v>3.3</v>
      </c>
      <c r="R302" s="43">
        <v>42.7</v>
      </c>
      <c r="S302" s="32">
        <f t="shared" si="23"/>
        <v>3.892944038929444E-2</v>
      </c>
      <c r="T302" s="54" t="e">
        <f>VLOOKUP(A302,[1]인포맥스!$A:$I,9,0)</f>
        <v>#N/A</v>
      </c>
      <c r="U302" s="70" t="e">
        <f t="shared" si="24"/>
        <v>#N/A</v>
      </c>
    </row>
    <row r="303" spans="1:21" x14ac:dyDescent="0.25">
      <c r="A303" s="3">
        <v>35216</v>
      </c>
      <c r="B303" s="29" t="e">
        <f>NA()</f>
        <v>#N/A</v>
      </c>
      <c r="C303" s="29" t="e">
        <v>#N/A</v>
      </c>
      <c r="D303" s="50">
        <f>49.1</f>
        <v>49.1</v>
      </c>
      <c r="E303" s="30">
        <v>49.1</v>
      </c>
      <c r="F303" s="29">
        <f>5.5</f>
        <v>5.5</v>
      </c>
      <c r="G303" s="31" t="e">
        <v>#N/A</v>
      </c>
      <c r="H303" s="51" t="e">
        <f t="shared" si="21"/>
        <v>#N/A</v>
      </c>
      <c r="I303" s="29">
        <f>2.5</f>
        <v>2.5</v>
      </c>
      <c r="J303" s="31">
        <v>66.92</v>
      </c>
      <c r="K303" s="51">
        <f t="shared" si="22"/>
        <v>2.4808575803981693E-2</v>
      </c>
      <c r="L303" s="29">
        <f>4.9</f>
        <v>4.9000000000000004</v>
      </c>
      <c r="M303" s="30">
        <v>4.9000000000000004</v>
      </c>
      <c r="N303" s="29">
        <f>22</f>
        <v>22</v>
      </c>
      <c r="O303" s="29">
        <v>400703.6</v>
      </c>
      <c r="P303" s="51">
        <f t="shared" si="20"/>
        <v>0.2202235543967544</v>
      </c>
      <c r="Q303" s="29">
        <f>4.3</f>
        <v>4.3</v>
      </c>
      <c r="R303" s="43">
        <v>42.9</v>
      </c>
      <c r="S303" s="32">
        <f t="shared" si="23"/>
        <v>4.8899755501222497E-2</v>
      </c>
      <c r="T303" s="54" t="e">
        <f>VLOOKUP(A303,[1]인포맥스!$A:$I,9,0)</f>
        <v>#N/A</v>
      </c>
      <c r="U303" s="70" t="e">
        <f t="shared" si="24"/>
        <v>#N/A</v>
      </c>
    </row>
    <row r="304" spans="1:21" x14ac:dyDescent="0.25">
      <c r="A304" s="3">
        <v>35185</v>
      </c>
      <c r="B304" s="29" t="e">
        <f>NA()</f>
        <v>#N/A</v>
      </c>
      <c r="C304" s="29" t="e">
        <v>#N/A</v>
      </c>
      <c r="D304" s="50">
        <f>49.3</f>
        <v>49.3</v>
      </c>
      <c r="E304" s="30">
        <v>49.3</v>
      </c>
      <c r="F304" s="29">
        <f>4.7</f>
        <v>4.7</v>
      </c>
      <c r="G304" s="31" t="e">
        <v>#N/A</v>
      </c>
      <c r="H304" s="51" t="e">
        <f t="shared" si="21"/>
        <v>#N/A</v>
      </c>
      <c r="I304" s="29">
        <f>2.8</f>
        <v>2.8</v>
      </c>
      <c r="J304" s="31">
        <v>66.88</v>
      </c>
      <c r="K304" s="51">
        <f t="shared" si="22"/>
        <v>2.7500384083576461E-2</v>
      </c>
      <c r="L304" s="29">
        <f>4.5</f>
        <v>4.5</v>
      </c>
      <c r="M304" s="30">
        <v>4.5</v>
      </c>
      <c r="N304" s="29">
        <f>22.2</f>
        <v>22.2</v>
      </c>
      <c r="O304" s="29">
        <v>395993.5</v>
      </c>
      <c r="P304" s="51">
        <f t="shared" si="20"/>
        <v>0.22214708843366943</v>
      </c>
      <c r="Q304" s="29">
        <f>4.8</f>
        <v>4.8</v>
      </c>
      <c r="R304" s="43">
        <v>42.9</v>
      </c>
      <c r="S304" s="32">
        <f t="shared" si="23"/>
        <v>5.1470588235294157E-2</v>
      </c>
      <c r="T304" s="54" t="e">
        <f>VLOOKUP(A304,[1]인포맥스!$A:$I,9,0)</f>
        <v>#N/A</v>
      </c>
      <c r="U304" s="70" t="e">
        <f t="shared" si="24"/>
        <v>#N/A</v>
      </c>
    </row>
    <row r="305" spans="1:21" x14ac:dyDescent="0.25">
      <c r="A305" s="3">
        <v>35155</v>
      </c>
      <c r="B305" s="29" t="e">
        <f>NA()</f>
        <v>#N/A</v>
      </c>
      <c r="C305" s="29" t="e">
        <v>#N/A</v>
      </c>
      <c r="D305" s="50">
        <f>46.9</f>
        <v>46.9</v>
      </c>
      <c r="E305" s="30">
        <v>46.9</v>
      </c>
      <c r="F305" s="29">
        <f>16.9</f>
        <v>16.899999999999999</v>
      </c>
      <c r="G305" s="31" t="e">
        <v>#N/A</v>
      </c>
      <c r="H305" s="51" t="e">
        <f t="shared" si="21"/>
        <v>#N/A</v>
      </c>
      <c r="I305" s="29">
        <f>2.9</f>
        <v>2.9</v>
      </c>
      <c r="J305" s="31">
        <v>66.569999999999993</v>
      </c>
      <c r="K305" s="51">
        <f t="shared" si="22"/>
        <v>2.8902627511591811E-2</v>
      </c>
      <c r="L305" s="29">
        <f>4.4</f>
        <v>4.4000000000000004</v>
      </c>
      <c r="M305" s="30">
        <v>4.4000000000000004</v>
      </c>
      <c r="N305" s="29">
        <f>22.5</f>
        <v>22.5</v>
      </c>
      <c r="O305" s="29">
        <v>387888.2</v>
      </c>
      <c r="P305" s="51">
        <f t="shared" si="20"/>
        <v>0.22478079419614974</v>
      </c>
      <c r="Q305" s="29">
        <f>5.3</f>
        <v>5.3</v>
      </c>
      <c r="R305" s="43">
        <v>42.8</v>
      </c>
      <c r="S305" s="32">
        <f t="shared" si="23"/>
        <v>5.9405940594059375E-2</v>
      </c>
      <c r="T305" s="54" t="e">
        <f>VLOOKUP(A305,[1]인포맥스!$A:$I,9,0)</f>
        <v>#N/A</v>
      </c>
      <c r="U305" s="70" t="e">
        <f t="shared" si="24"/>
        <v>#N/A</v>
      </c>
    </row>
    <row r="306" spans="1:21" x14ac:dyDescent="0.25">
      <c r="A306" s="3">
        <v>35124</v>
      </c>
      <c r="B306" s="29" t="e">
        <f>NA()</f>
        <v>#N/A</v>
      </c>
      <c r="C306" s="29" t="e">
        <v>#N/A</v>
      </c>
      <c r="D306" s="50">
        <f>45.9</f>
        <v>45.9</v>
      </c>
      <c r="E306" s="30">
        <v>45.9</v>
      </c>
      <c r="F306" s="29">
        <f>17.2</f>
        <v>17.2</v>
      </c>
      <c r="G306" s="31" t="e">
        <v>#N/A</v>
      </c>
      <c r="H306" s="51" t="e">
        <f t="shared" si="21"/>
        <v>#N/A</v>
      </c>
      <c r="I306" s="29">
        <f>3.9</f>
        <v>3.9</v>
      </c>
      <c r="J306" s="31">
        <v>66.739999999999995</v>
      </c>
      <c r="K306" s="51">
        <f t="shared" si="22"/>
        <v>3.9078312315117401E-2</v>
      </c>
      <c r="L306" s="29">
        <f>4.8</f>
        <v>4.8</v>
      </c>
      <c r="M306" s="30">
        <v>4.8</v>
      </c>
      <c r="N306" s="29">
        <f>22.4</f>
        <v>22.4</v>
      </c>
      <c r="O306" s="29">
        <v>382347.5</v>
      </c>
      <c r="P306" s="51">
        <f t="shared" si="20"/>
        <v>0.22393616731814572</v>
      </c>
      <c r="Q306" s="29">
        <f>5.4</f>
        <v>5.4</v>
      </c>
      <c r="R306" s="43">
        <v>42.6</v>
      </c>
      <c r="S306" s="32">
        <f t="shared" si="23"/>
        <v>5.4455445544554525E-2</v>
      </c>
      <c r="T306" s="54" t="e">
        <f>VLOOKUP(A306,[1]인포맥스!$A:$I,9,0)</f>
        <v>#N/A</v>
      </c>
      <c r="U306" s="70" t="e">
        <f t="shared" si="24"/>
        <v>#N/A</v>
      </c>
    </row>
    <row r="307" spans="1:21" x14ac:dyDescent="0.25">
      <c r="A307" s="3">
        <v>35095</v>
      </c>
      <c r="B307" s="29" t="e">
        <f>NA()</f>
        <v>#N/A</v>
      </c>
      <c r="C307" s="29" t="e">
        <v>#N/A</v>
      </c>
      <c r="D307" s="50">
        <f>45.5</f>
        <v>45.5</v>
      </c>
      <c r="E307" s="30">
        <v>45.5</v>
      </c>
      <c r="F307" s="29">
        <f>27.8</f>
        <v>27.8</v>
      </c>
      <c r="G307" s="31" t="e">
        <v>#N/A</v>
      </c>
      <c r="H307" s="51" t="e">
        <f t="shared" si="21"/>
        <v>#N/A</v>
      </c>
      <c r="I307" s="29">
        <f>3.9</f>
        <v>3.9</v>
      </c>
      <c r="J307" s="31">
        <v>66.510000000000005</v>
      </c>
      <c r="K307" s="51">
        <f t="shared" si="22"/>
        <v>3.9381153305203989E-2</v>
      </c>
      <c r="L307" s="29">
        <f>4.8</f>
        <v>4.8</v>
      </c>
      <c r="M307" s="30">
        <v>4.8</v>
      </c>
      <c r="N307" s="29">
        <f>21.1</f>
        <v>21.1</v>
      </c>
      <c r="O307" s="29">
        <v>377633.3</v>
      </c>
      <c r="P307" s="51">
        <f t="shared" si="20"/>
        <v>0.21095348084755408</v>
      </c>
      <c r="Q307" s="29">
        <f>6</f>
        <v>6</v>
      </c>
      <c r="R307" s="43">
        <v>42.5</v>
      </c>
      <c r="S307" s="32">
        <f t="shared" si="23"/>
        <v>5.9850374064837869E-2</v>
      </c>
      <c r="T307" s="54" t="e">
        <f>VLOOKUP(A307,[1]인포맥스!$A:$I,9,0)</f>
        <v>#N/A</v>
      </c>
      <c r="U307" s="70" t="e">
        <f t="shared" si="24"/>
        <v>#N/A</v>
      </c>
    </row>
    <row r="308" spans="1:21" x14ac:dyDescent="0.25">
      <c r="A308" s="3">
        <v>35064</v>
      </c>
      <c r="B308" s="29" t="e">
        <f>NA()</f>
        <v>#N/A</v>
      </c>
      <c r="C308" s="29" t="e">
        <v>#N/A</v>
      </c>
      <c r="D308" s="50">
        <f>46.2</f>
        <v>46.2</v>
      </c>
      <c r="E308" s="30">
        <v>46.2</v>
      </c>
      <c r="F308" s="29">
        <f>9.9</f>
        <v>9.9</v>
      </c>
      <c r="G308" s="31" t="e">
        <v>#N/A</v>
      </c>
      <c r="H308" s="51" t="e">
        <f t="shared" si="21"/>
        <v>#N/A</v>
      </c>
      <c r="I308" s="29">
        <f>3.7</f>
        <v>3.7</v>
      </c>
      <c r="J308" s="31">
        <v>65.680000000000007</v>
      </c>
      <c r="K308" s="51">
        <f t="shared" si="22"/>
        <v>3.7107216169272206E-2</v>
      </c>
      <c r="L308" s="29">
        <f>4.8</f>
        <v>4.8</v>
      </c>
      <c r="M308" s="30">
        <v>4.8</v>
      </c>
      <c r="N308" s="29">
        <f>21.9</f>
        <v>21.9</v>
      </c>
      <c r="O308" s="29">
        <v>374517.3</v>
      </c>
      <c r="P308" s="51">
        <f t="shared" si="20"/>
        <v>0.21925526965783307</v>
      </c>
      <c r="Q308" s="29">
        <f>6.6</f>
        <v>6.6</v>
      </c>
      <c r="R308" s="43">
        <v>42.4</v>
      </c>
      <c r="S308" s="32">
        <f t="shared" si="23"/>
        <v>6.5326633165829193E-2</v>
      </c>
      <c r="T308" s="54" t="e">
        <f>VLOOKUP(A308,[1]인포맥스!$A:$I,9,0)</f>
        <v>#N/A</v>
      </c>
      <c r="U308" s="70" t="e">
        <f t="shared" si="24"/>
        <v>#N/A</v>
      </c>
    </row>
    <row r="309" spans="1:21" x14ac:dyDescent="0.25">
      <c r="A309" s="3">
        <v>35033</v>
      </c>
      <c r="B309" s="29" t="e">
        <f>NA()</f>
        <v>#N/A</v>
      </c>
      <c r="C309" s="29" t="e">
        <v>#N/A</v>
      </c>
      <c r="D309" s="50">
        <f>45.9</f>
        <v>45.9</v>
      </c>
      <c r="E309" s="30">
        <v>45.9</v>
      </c>
      <c r="F309" s="29">
        <f>24.3</f>
        <v>24.3</v>
      </c>
      <c r="G309" s="31" t="e">
        <v>#N/A</v>
      </c>
      <c r="H309" s="51" t="e">
        <f t="shared" si="21"/>
        <v>#N/A</v>
      </c>
      <c r="I309" s="29">
        <f>3.9</f>
        <v>3.9</v>
      </c>
      <c r="J309" s="31">
        <v>65.42</v>
      </c>
      <c r="K309" s="51">
        <f t="shared" si="22"/>
        <v>3.9402605656180555E-2</v>
      </c>
      <c r="L309" s="29">
        <f>4.1</f>
        <v>4.0999999999999996</v>
      </c>
      <c r="M309" s="30">
        <v>4.0999999999999996</v>
      </c>
      <c r="N309" s="29">
        <f>20.6</f>
        <v>20.6</v>
      </c>
      <c r="O309" s="29">
        <v>364982.3</v>
      </c>
      <c r="P309" s="51">
        <f t="shared" si="20"/>
        <v>0.20598096440201091</v>
      </c>
      <c r="Q309" s="29">
        <f>7</f>
        <v>7</v>
      </c>
      <c r="R309" s="43">
        <v>42.3</v>
      </c>
      <c r="S309" s="32">
        <f t="shared" si="23"/>
        <v>7.6335877862595422E-2</v>
      </c>
      <c r="T309" s="54" t="e">
        <f>VLOOKUP(A309,[1]인포맥스!$A:$I,9,0)</f>
        <v>#N/A</v>
      </c>
      <c r="U309" s="70" t="e">
        <f t="shared" si="24"/>
        <v>#N/A</v>
      </c>
    </row>
    <row r="310" spans="1:21" x14ac:dyDescent="0.25">
      <c r="A310" s="3">
        <v>35003</v>
      </c>
      <c r="B310" s="29" t="e">
        <f>NA()</f>
        <v>#N/A</v>
      </c>
      <c r="C310" s="29" t="e">
        <v>#N/A</v>
      </c>
      <c r="D310" s="50">
        <f>46.7</f>
        <v>46.7</v>
      </c>
      <c r="E310" s="30">
        <v>46.7</v>
      </c>
      <c r="F310" s="29">
        <f>30</f>
        <v>30</v>
      </c>
      <c r="G310" s="31" t="e">
        <v>#N/A</v>
      </c>
      <c r="H310" s="51" t="e">
        <f t="shared" si="21"/>
        <v>#N/A</v>
      </c>
      <c r="I310" s="29">
        <f>4.3</f>
        <v>4.3</v>
      </c>
      <c r="J310" s="31">
        <v>65.63</v>
      </c>
      <c r="K310" s="51">
        <f t="shared" si="22"/>
        <v>4.273911661900219E-2</v>
      </c>
      <c r="L310" s="29">
        <f>4.5</f>
        <v>4.5</v>
      </c>
      <c r="M310" s="30">
        <v>4.5</v>
      </c>
      <c r="N310" s="29">
        <f>20.5</f>
        <v>20.5</v>
      </c>
      <c r="O310" s="29">
        <v>357301.4</v>
      </c>
      <c r="P310" s="51">
        <f t="shared" si="20"/>
        <v>0.20476549818695808</v>
      </c>
      <c r="Q310" s="29">
        <f>7.1</f>
        <v>7.1</v>
      </c>
      <c r="R310" s="43">
        <v>42.1</v>
      </c>
      <c r="S310" s="32">
        <f t="shared" si="23"/>
        <v>7.9487179487179524E-2</v>
      </c>
      <c r="T310" s="54" t="e">
        <f>VLOOKUP(A310,[1]인포맥스!$A:$I,9,0)</f>
        <v>#N/A</v>
      </c>
      <c r="U310" s="70" t="e">
        <f t="shared" si="24"/>
        <v>#N/A</v>
      </c>
    </row>
    <row r="311" spans="1:21" x14ac:dyDescent="0.25">
      <c r="A311" s="3">
        <v>34972</v>
      </c>
      <c r="B311" s="29" t="e">
        <f>NA()</f>
        <v>#N/A</v>
      </c>
      <c r="C311" s="29" t="e">
        <v>#N/A</v>
      </c>
      <c r="D311" s="50">
        <f>48.1</f>
        <v>48.1</v>
      </c>
      <c r="E311" s="30">
        <v>48.1</v>
      </c>
      <c r="F311" s="29">
        <f>32.2</f>
        <v>32.200000000000003</v>
      </c>
      <c r="G311" s="31" t="e">
        <v>#N/A</v>
      </c>
      <c r="H311" s="51" t="e">
        <f t="shared" si="21"/>
        <v>#N/A</v>
      </c>
      <c r="I311" s="29">
        <f>5</f>
        <v>5</v>
      </c>
      <c r="J311" s="31">
        <v>65.92</v>
      </c>
      <c r="K311" s="51">
        <f t="shared" si="22"/>
        <v>4.9848702022615106E-2</v>
      </c>
      <c r="L311" s="29">
        <f>4.7</f>
        <v>4.7</v>
      </c>
      <c r="M311" s="30">
        <v>4.7</v>
      </c>
      <c r="N311" s="29">
        <f>19.3</f>
        <v>19.3</v>
      </c>
      <c r="O311" s="29">
        <v>351876.4</v>
      </c>
      <c r="P311" s="51">
        <f t="shared" si="20"/>
        <v>0.19349358220988511</v>
      </c>
      <c r="Q311" s="29">
        <f>7.5</f>
        <v>7.5</v>
      </c>
      <c r="R311" s="43">
        <v>42</v>
      </c>
      <c r="S311" s="32">
        <f t="shared" si="23"/>
        <v>8.527131782945728E-2</v>
      </c>
      <c r="T311" s="54" t="e">
        <f>VLOOKUP(A311,[1]인포맥스!$A:$I,9,0)</f>
        <v>#N/A</v>
      </c>
      <c r="U311" s="70" t="e">
        <f t="shared" si="24"/>
        <v>#N/A</v>
      </c>
    </row>
    <row r="312" spans="1:21" x14ac:dyDescent="0.25">
      <c r="A312" s="3">
        <v>34942</v>
      </c>
      <c r="B312" s="29" t="e">
        <f>NA()</f>
        <v>#N/A</v>
      </c>
      <c r="C312" s="29" t="e">
        <v>#N/A</v>
      </c>
      <c r="D312" s="50">
        <f>47.1</f>
        <v>47.1</v>
      </c>
      <c r="E312" s="30">
        <v>47.1</v>
      </c>
      <c r="F312" s="29">
        <f>39.6</f>
        <v>39.6</v>
      </c>
      <c r="G312" s="31" t="e">
        <v>#N/A</v>
      </c>
      <c r="H312" s="51" t="e">
        <f t="shared" si="21"/>
        <v>#N/A</v>
      </c>
      <c r="I312" s="29">
        <f>4.3</f>
        <v>4.3</v>
      </c>
      <c r="J312" s="31">
        <v>65.489999999999995</v>
      </c>
      <c r="K312" s="51">
        <f t="shared" si="22"/>
        <v>4.300047778308641E-2</v>
      </c>
      <c r="L312" s="29">
        <f>3.4</f>
        <v>3.4</v>
      </c>
      <c r="M312" s="30">
        <v>3.4</v>
      </c>
      <c r="N312" s="29">
        <f>19</f>
        <v>19</v>
      </c>
      <c r="O312" s="29">
        <v>344554.4</v>
      </c>
      <c r="P312" s="51">
        <f t="shared" si="20"/>
        <v>0.19018009469505287</v>
      </c>
      <c r="Q312" s="29">
        <f>7.7</f>
        <v>7.7</v>
      </c>
      <c r="R312" s="43">
        <v>41.8</v>
      </c>
      <c r="S312" s="32">
        <f t="shared" si="23"/>
        <v>8.854166666666663E-2</v>
      </c>
      <c r="T312" s="54" t="e">
        <f>VLOOKUP(A312,[1]인포맥스!$A:$I,9,0)</f>
        <v>#N/A</v>
      </c>
      <c r="U312" s="70" t="e">
        <f t="shared" si="24"/>
        <v>#N/A</v>
      </c>
    </row>
    <row r="313" spans="1:21" x14ac:dyDescent="0.25">
      <c r="A313" s="3">
        <v>34911</v>
      </c>
      <c r="B313" s="29" t="e">
        <f>NA()</f>
        <v>#N/A</v>
      </c>
      <c r="C313" s="29" t="e">
        <v>#N/A</v>
      </c>
      <c r="D313" s="50">
        <f>50.7</f>
        <v>50.7</v>
      </c>
      <c r="E313" s="30">
        <v>50.7</v>
      </c>
      <c r="F313" s="29">
        <f>37.8</f>
        <v>37.799999999999997</v>
      </c>
      <c r="G313" s="31" t="e">
        <v>#N/A</v>
      </c>
      <c r="H313" s="51" t="e">
        <f t="shared" si="21"/>
        <v>#N/A</v>
      </c>
      <c r="I313" s="29">
        <f>5.3</f>
        <v>5.3</v>
      </c>
      <c r="J313" s="31">
        <v>65.48</v>
      </c>
      <c r="K313" s="51">
        <f t="shared" si="22"/>
        <v>5.3410553410553535E-2</v>
      </c>
      <c r="L313" s="29">
        <f>3.6</f>
        <v>3.6</v>
      </c>
      <c r="M313" s="30">
        <v>3.6</v>
      </c>
      <c r="N313" s="29">
        <f>18.8</f>
        <v>18.8</v>
      </c>
      <c r="O313" s="29">
        <v>339401.4</v>
      </c>
      <c r="P313" s="51">
        <f t="shared" si="20"/>
        <v>0.18780381789509731</v>
      </c>
      <c r="Q313" s="29">
        <f>7.7</f>
        <v>7.7</v>
      </c>
      <c r="R313" s="43">
        <v>41.5</v>
      </c>
      <c r="S313" s="32">
        <f t="shared" si="23"/>
        <v>8.6387434554973747E-2</v>
      </c>
      <c r="T313" s="54" t="e">
        <f>VLOOKUP(A313,[1]인포맥스!$A:$I,9,0)</f>
        <v>#N/A</v>
      </c>
      <c r="U313" s="70" t="e">
        <f t="shared" si="24"/>
        <v>#N/A</v>
      </c>
    </row>
    <row r="314" spans="1:21" x14ac:dyDescent="0.25">
      <c r="A314" s="3">
        <v>34880</v>
      </c>
      <c r="B314" s="29" t="e">
        <f>NA()</f>
        <v>#N/A</v>
      </c>
      <c r="C314" s="29" t="e">
        <v>#N/A</v>
      </c>
      <c r="D314" s="50">
        <f>45.9</f>
        <v>45.9</v>
      </c>
      <c r="E314" s="30">
        <v>45.9</v>
      </c>
      <c r="F314" s="29">
        <f>35.4</f>
        <v>35.4</v>
      </c>
      <c r="G314" s="31" t="e">
        <v>#N/A</v>
      </c>
      <c r="H314" s="51" t="e">
        <f t="shared" si="21"/>
        <v>#N/A</v>
      </c>
      <c r="I314" s="29">
        <f>5.5</f>
        <v>5.5</v>
      </c>
      <c r="J314" s="31">
        <v>65.36</v>
      </c>
      <c r="K314" s="51">
        <f t="shared" si="22"/>
        <v>5.5385112223478118E-2</v>
      </c>
      <c r="L314" s="29">
        <f>4.2</f>
        <v>4.2</v>
      </c>
      <c r="M314" s="30">
        <v>4.2</v>
      </c>
      <c r="N314" s="29">
        <f>19</f>
        <v>19</v>
      </c>
      <c r="O314" s="29">
        <v>332585.5</v>
      </c>
      <c r="P314" s="51">
        <f t="shared" si="20"/>
        <v>0.18966548410335871</v>
      </c>
      <c r="Q314" s="29">
        <f>7.3</f>
        <v>7.3</v>
      </c>
      <c r="R314" s="43">
        <v>41.1</v>
      </c>
      <c r="S314" s="32">
        <f t="shared" si="23"/>
        <v>8.1578947368421084E-2</v>
      </c>
      <c r="T314" s="54" t="e">
        <f>VLOOKUP(A314,[1]인포맥스!$A:$I,9,0)</f>
        <v>#N/A</v>
      </c>
      <c r="U314" s="70" t="e">
        <f t="shared" si="24"/>
        <v>#N/A</v>
      </c>
    </row>
    <row r="315" spans="1:21" x14ac:dyDescent="0.25">
      <c r="A315" s="3">
        <v>34850</v>
      </c>
      <c r="B315" s="29" t="e">
        <f>NA()</f>
        <v>#N/A</v>
      </c>
      <c r="C315" s="29" t="e">
        <v>#N/A</v>
      </c>
      <c r="D315" s="50">
        <f>46.7</f>
        <v>46.7</v>
      </c>
      <c r="E315" s="30">
        <v>46.7</v>
      </c>
      <c r="F315" s="29">
        <f>35.5</f>
        <v>35.5</v>
      </c>
      <c r="G315" s="31" t="e">
        <v>#N/A</v>
      </c>
      <c r="H315" s="51" t="e">
        <f t="shared" si="21"/>
        <v>#N/A</v>
      </c>
      <c r="I315" s="29">
        <f>5.9</f>
        <v>5.9</v>
      </c>
      <c r="J315" s="31">
        <v>65.3</v>
      </c>
      <c r="K315" s="51">
        <f t="shared" si="22"/>
        <v>5.8518398443832054E-2</v>
      </c>
      <c r="L315" s="29">
        <f>5.2</f>
        <v>5.2</v>
      </c>
      <c r="M315" s="30">
        <v>5.2</v>
      </c>
      <c r="N315" s="29">
        <f>19</f>
        <v>19</v>
      </c>
      <c r="O315" s="29">
        <v>328385.40000000002</v>
      </c>
      <c r="P315" s="51">
        <f t="shared" si="20"/>
        <v>0.18982071097484493</v>
      </c>
      <c r="Q315" s="29">
        <f>7.6</f>
        <v>7.6</v>
      </c>
      <c r="R315" s="43">
        <v>40.9</v>
      </c>
      <c r="S315" s="32">
        <f t="shared" si="23"/>
        <v>7.9155672823219003E-2</v>
      </c>
      <c r="T315" s="54" t="e">
        <f>VLOOKUP(A315,[1]인포맥스!$A:$I,9,0)</f>
        <v>#N/A</v>
      </c>
      <c r="U315" s="70" t="e">
        <f t="shared" si="24"/>
        <v>#N/A</v>
      </c>
    </row>
    <row r="316" spans="1:21" x14ac:dyDescent="0.25">
      <c r="A316" s="3">
        <v>34819</v>
      </c>
      <c r="B316" s="29" t="e">
        <f>NA()</f>
        <v>#N/A</v>
      </c>
      <c r="C316" s="29" t="e">
        <v>#N/A</v>
      </c>
      <c r="D316" s="50">
        <f>51.5</f>
        <v>51.5</v>
      </c>
      <c r="E316" s="30">
        <v>51.5</v>
      </c>
      <c r="F316" s="29">
        <f>32.5</f>
        <v>32.5</v>
      </c>
      <c r="G316" s="31" t="e">
        <v>#N/A</v>
      </c>
      <c r="H316" s="51" t="e">
        <f t="shared" si="21"/>
        <v>#N/A</v>
      </c>
      <c r="I316" s="29">
        <f>5.4</f>
        <v>5.4</v>
      </c>
      <c r="J316" s="31">
        <v>65.09</v>
      </c>
      <c r="K316" s="51">
        <f t="shared" si="22"/>
        <v>5.3918393782383507E-2</v>
      </c>
      <c r="L316" s="29">
        <f>5.1</f>
        <v>5.0999999999999996</v>
      </c>
      <c r="M316" s="30">
        <v>5.0999999999999996</v>
      </c>
      <c r="N316" s="29">
        <f>18.6</f>
        <v>18.600000000000001</v>
      </c>
      <c r="O316" s="29">
        <v>324014.59999999998</v>
      </c>
      <c r="P316" s="51">
        <f t="shared" si="20"/>
        <v>0.18639688826512288</v>
      </c>
      <c r="Q316" s="29">
        <f>8.2</f>
        <v>8.1999999999999993</v>
      </c>
      <c r="R316" s="43">
        <v>40.799999999999997</v>
      </c>
      <c r="S316" s="32">
        <f t="shared" si="23"/>
        <v>8.2228116710875168E-2</v>
      </c>
      <c r="T316" s="54" t="e">
        <f>VLOOKUP(A316,[1]인포맥스!$A:$I,9,0)</f>
        <v>#N/A</v>
      </c>
      <c r="U316" s="70" t="e">
        <f t="shared" si="24"/>
        <v>#N/A</v>
      </c>
    </row>
    <row r="317" spans="1:21" x14ac:dyDescent="0.25">
      <c r="A317" s="3">
        <v>34789</v>
      </c>
      <c r="B317" s="29" t="e">
        <f>NA()</f>
        <v>#N/A</v>
      </c>
      <c r="C317" s="29" t="e">
        <v>#N/A</v>
      </c>
      <c r="D317" s="50">
        <f>52.1</f>
        <v>52.1</v>
      </c>
      <c r="E317" s="30">
        <v>52.1</v>
      </c>
      <c r="F317" s="29">
        <f>31.3</f>
        <v>31.3</v>
      </c>
      <c r="G317" s="31" t="e">
        <v>#N/A</v>
      </c>
      <c r="H317" s="51" t="e">
        <f t="shared" si="21"/>
        <v>#N/A</v>
      </c>
      <c r="I317" s="29">
        <f>4.9</f>
        <v>4.9000000000000004</v>
      </c>
      <c r="J317" s="31">
        <v>64.7</v>
      </c>
      <c r="K317" s="51">
        <f t="shared" si="22"/>
        <v>4.8792348840979174E-2</v>
      </c>
      <c r="L317" s="29">
        <f>4.6</f>
        <v>4.5999999999999996</v>
      </c>
      <c r="M317" s="30">
        <v>4.5999999999999996</v>
      </c>
      <c r="N317" s="29">
        <f>19.4</f>
        <v>19.399999999999999</v>
      </c>
      <c r="O317" s="29">
        <v>316700.09999999998</v>
      </c>
      <c r="P317" s="51">
        <f t="shared" si="20"/>
        <v>0.18629864824926404</v>
      </c>
      <c r="Q317" s="29">
        <f>8.2</f>
        <v>8.1999999999999993</v>
      </c>
      <c r="R317" s="43">
        <v>40.4</v>
      </c>
      <c r="S317" s="32">
        <f t="shared" si="23"/>
        <v>7.7333333333333296E-2</v>
      </c>
      <c r="T317" s="54" t="e">
        <f>VLOOKUP(A317,[1]인포맥스!$A:$I,9,0)</f>
        <v>#N/A</v>
      </c>
      <c r="U317" s="70" t="e">
        <f t="shared" si="24"/>
        <v>#N/A</v>
      </c>
    </row>
    <row r="318" spans="1:21" x14ac:dyDescent="0.25">
      <c r="A318" s="3">
        <v>34758</v>
      </c>
      <c r="B318" s="29" t="e">
        <f>NA()</f>
        <v>#N/A</v>
      </c>
      <c r="C318" s="29" t="e">
        <v>#N/A</v>
      </c>
      <c r="D318" s="50">
        <f>55.1</f>
        <v>55.1</v>
      </c>
      <c r="E318" s="30">
        <v>55.1</v>
      </c>
      <c r="F318" s="29">
        <f>35.9</f>
        <v>35.9</v>
      </c>
      <c r="G318" s="31" t="e">
        <v>#N/A</v>
      </c>
      <c r="H318" s="51" t="e">
        <f t="shared" si="21"/>
        <v>#N/A</v>
      </c>
      <c r="I318" s="29">
        <f>4</f>
        <v>4</v>
      </c>
      <c r="J318" s="31">
        <v>64.23</v>
      </c>
      <c r="K318" s="51">
        <f t="shared" si="22"/>
        <v>3.9993523316062277E-2</v>
      </c>
      <c r="L318" s="29">
        <f>4.5</f>
        <v>4.5</v>
      </c>
      <c r="M318" s="30">
        <v>4.5</v>
      </c>
      <c r="N318" s="29">
        <f>19.4</f>
        <v>19.399999999999999</v>
      </c>
      <c r="O318" s="29">
        <v>312391.7</v>
      </c>
      <c r="P318" s="51">
        <f t="shared" si="20"/>
        <v>0.19363041408307341</v>
      </c>
      <c r="Q318" s="29">
        <f>8.9</f>
        <v>8.9</v>
      </c>
      <c r="R318" s="43">
        <v>40.4</v>
      </c>
      <c r="S318" s="32">
        <f t="shared" si="23"/>
        <v>8.6021505376343968E-2</v>
      </c>
      <c r="T318" s="54" t="e">
        <f>VLOOKUP(A318,[1]인포맥스!$A:$I,9,0)</f>
        <v>#N/A</v>
      </c>
      <c r="U318" s="70" t="e">
        <f t="shared" si="24"/>
        <v>#N/A</v>
      </c>
    </row>
    <row r="319" spans="1:21" x14ac:dyDescent="0.25">
      <c r="A319" s="3">
        <v>34730</v>
      </c>
      <c r="B319" s="29" t="e">
        <f>NA()</f>
        <v>#N/A</v>
      </c>
      <c r="C319" s="29" t="e">
        <v>#N/A</v>
      </c>
      <c r="D319" s="50">
        <f>57.4</f>
        <v>57.4</v>
      </c>
      <c r="E319" s="30">
        <v>57.4</v>
      </c>
      <c r="F319" s="29">
        <f>28</f>
        <v>28</v>
      </c>
      <c r="G319" s="31" t="e">
        <v>#N/A</v>
      </c>
      <c r="H319" s="51" t="e">
        <f t="shared" si="21"/>
        <v>#N/A</v>
      </c>
      <c r="I319" s="29">
        <f>3.9</f>
        <v>3.9</v>
      </c>
      <c r="J319" s="31">
        <v>63.99</v>
      </c>
      <c r="K319" s="51">
        <f t="shared" si="22"/>
        <v>3.8630092517448505E-2</v>
      </c>
      <c r="L319" s="29">
        <f>5.2</f>
        <v>5.2</v>
      </c>
      <c r="M319" s="30">
        <v>5.2</v>
      </c>
      <c r="N319" s="29">
        <f>21.9</f>
        <v>21.9</v>
      </c>
      <c r="O319" s="29">
        <v>311847.90000000002</v>
      </c>
      <c r="P319" s="51">
        <f t="shared" si="20"/>
        <v>0.21854665109396423</v>
      </c>
      <c r="Q319" s="29">
        <f>8.8</f>
        <v>8.8000000000000007</v>
      </c>
      <c r="R319" s="43">
        <v>40.1</v>
      </c>
      <c r="S319" s="32">
        <f t="shared" si="23"/>
        <v>8.9673913043478382E-2</v>
      </c>
      <c r="T319" s="54" t="e">
        <f>VLOOKUP(A319,[1]인포맥스!$A:$I,9,0)</f>
        <v>#N/A</v>
      </c>
      <c r="U319" s="70" t="e">
        <f t="shared" si="24"/>
        <v>#N/A</v>
      </c>
    </row>
    <row r="320" spans="1:21" x14ac:dyDescent="0.25">
      <c r="A320" s="3">
        <v>34699</v>
      </c>
      <c r="B320" s="29" t="e">
        <f>NA()</f>
        <v>#N/A</v>
      </c>
      <c r="C320" s="29" t="e">
        <v>#N/A</v>
      </c>
      <c r="D320" s="50">
        <f>56.1</f>
        <v>56.1</v>
      </c>
      <c r="E320" s="30">
        <v>56.1</v>
      </c>
      <c r="F320" s="29">
        <f>32.1</f>
        <v>32.1</v>
      </c>
      <c r="G320" s="31" t="e">
        <v>#N/A</v>
      </c>
      <c r="H320" s="51" t="e">
        <f t="shared" si="21"/>
        <v>#N/A</v>
      </c>
      <c r="I320" s="29">
        <f>3.9</f>
        <v>3.9</v>
      </c>
      <c r="J320" s="31">
        <v>63.33</v>
      </c>
      <c r="K320" s="51">
        <f t="shared" si="22"/>
        <v>3.8537225319776998E-2</v>
      </c>
      <c r="L320" s="29">
        <f>5.6</f>
        <v>5.6</v>
      </c>
      <c r="M320" s="30">
        <v>5.6</v>
      </c>
      <c r="N320" s="29">
        <f>21.1</f>
        <v>21.1</v>
      </c>
      <c r="O320" s="29">
        <v>307168.90000000002</v>
      </c>
      <c r="P320" s="51">
        <f t="shared" si="20"/>
        <v>0.21124099708791663</v>
      </c>
      <c r="Q320" s="29">
        <f>8.9</f>
        <v>8.9</v>
      </c>
      <c r="R320" s="43">
        <v>39.799999999999997</v>
      </c>
      <c r="S320" s="32">
        <f t="shared" si="23"/>
        <v>9.3406593406593366E-2</v>
      </c>
      <c r="T320" s="54" t="e">
        <f>VLOOKUP(A320,[1]인포맥스!$A:$I,9,0)</f>
        <v>#N/A</v>
      </c>
      <c r="U320" s="70" t="e">
        <f t="shared" si="24"/>
        <v>#N/A</v>
      </c>
    </row>
    <row r="321" spans="1:21" x14ac:dyDescent="0.25">
      <c r="A321" s="3">
        <v>34668</v>
      </c>
      <c r="B321" s="29" t="e">
        <f>NA()</f>
        <v>#N/A</v>
      </c>
      <c r="C321" s="29" t="e">
        <v>#N/A</v>
      </c>
      <c r="D321" s="50">
        <f>59.2</f>
        <v>59.2</v>
      </c>
      <c r="E321" s="30">
        <v>59.2</v>
      </c>
      <c r="F321" s="29">
        <f>25.6</f>
        <v>25.6</v>
      </c>
      <c r="G321" s="31" t="e">
        <v>#N/A</v>
      </c>
      <c r="H321" s="51" t="e">
        <f t="shared" si="21"/>
        <v>#N/A</v>
      </c>
      <c r="I321" s="29">
        <f>3.5</f>
        <v>3.5</v>
      </c>
      <c r="J321" s="31">
        <v>62.94</v>
      </c>
      <c r="K321" s="51">
        <f t="shared" si="22"/>
        <v>3.4856954949029885E-2</v>
      </c>
      <c r="L321" s="29">
        <f>6.1</f>
        <v>6.1</v>
      </c>
      <c r="M321" s="30">
        <v>6.1</v>
      </c>
      <c r="N321" s="29">
        <f>21.2</f>
        <v>21.2</v>
      </c>
      <c r="O321" s="29">
        <v>302643.5</v>
      </c>
      <c r="P321" s="51">
        <f t="shared" si="20"/>
        <v>0.2117993715244855</v>
      </c>
      <c r="Q321" s="29">
        <f>8.5</f>
        <v>8.5</v>
      </c>
      <c r="R321" s="43">
        <v>39.299999999999997</v>
      </c>
      <c r="S321" s="32">
        <f t="shared" si="23"/>
        <v>9.470752089136486E-2</v>
      </c>
      <c r="T321" s="54" t="e">
        <f>VLOOKUP(A321,[1]인포맥스!$A:$I,9,0)</f>
        <v>#N/A</v>
      </c>
      <c r="U321" s="70" t="e">
        <f t="shared" si="24"/>
        <v>#N/A</v>
      </c>
    </row>
    <row r="322" spans="1:21" x14ac:dyDescent="0.25">
      <c r="A322" s="3">
        <v>34638</v>
      </c>
      <c r="B322" s="29" t="e">
        <f>NA()</f>
        <v>#N/A</v>
      </c>
      <c r="C322" s="29" t="e">
        <v>#N/A</v>
      </c>
      <c r="D322" s="50">
        <f>59.4</f>
        <v>59.4</v>
      </c>
      <c r="E322" s="30">
        <v>59.4</v>
      </c>
      <c r="F322" s="29">
        <f>18.5</f>
        <v>18.5</v>
      </c>
      <c r="G322" s="31" t="e">
        <v>#N/A</v>
      </c>
      <c r="H322" s="51" t="e">
        <f t="shared" si="21"/>
        <v>#N/A</v>
      </c>
      <c r="I322" s="29">
        <f>3.5</f>
        <v>3.5</v>
      </c>
      <c r="J322" s="31">
        <v>62.94</v>
      </c>
      <c r="K322" s="51">
        <f t="shared" si="22"/>
        <v>3.4856954949029885E-2</v>
      </c>
      <c r="L322" s="29">
        <f>5.8</f>
        <v>5.8</v>
      </c>
      <c r="M322" s="30">
        <v>5.8</v>
      </c>
      <c r="N322" s="29">
        <f>20</f>
        <v>20</v>
      </c>
      <c r="O322" s="29">
        <v>296573.40000000002</v>
      </c>
      <c r="P322" s="51">
        <f t="shared" si="20"/>
        <v>0.20006846587874269</v>
      </c>
      <c r="Q322" s="29">
        <f>8.5</f>
        <v>8.5</v>
      </c>
      <c r="R322" s="43">
        <v>39</v>
      </c>
      <c r="S322" s="32">
        <f t="shared" si="23"/>
        <v>9.8591549295774641E-2</v>
      </c>
      <c r="T322" s="54" t="e">
        <f>VLOOKUP(A322,[1]인포맥스!$A:$I,9,0)</f>
        <v>#N/A</v>
      </c>
      <c r="U322" s="70" t="e">
        <f t="shared" si="24"/>
        <v>#N/A</v>
      </c>
    </row>
    <row r="323" spans="1:21" x14ac:dyDescent="0.25">
      <c r="A323" s="3">
        <v>34607</v>
      </c>
      <c r="B323" s="29" t="e">
        <f>NA()</f>
        <v>#N/A</v>
      </c>
      <c r="C323" s="29" t="e">
        <v>#N/A</v>
      </c>
      <c r="D323" s="50">
        <f>59</f>
        <v>59</v>
      </c>
      <c r="E323" s="30">
        <v>59</v>
      </c>
      <c r="F323" s="29">
        <f>15.5</f>
        <v>15.5</v>
      </c>
      <c r="G323" s="31" t="e">
        <v>#N/A</v>
      </c>
      <c r="H323" s="51" t="e">
        <f t="shared" si="21"/>
        <v>#N/A</v>
      </c>
      <c r="I323" s="29">
        <f>3</f>
        <v>3</v>
      </c>
      <c r="J323" s="31">
        <v>62.79</v>
      </c>
      <c r="K323" s="51">
        <f t="shared" si="22"/>
        <v>2.9681862905870816E-2</v>
      </c>
      <c r="L323" s="29">
        <f>6.5</f>
        <v>6.5</v>
      </c>
      <c r="M323" s="30">
        <v>6.5</v>
      </c>
      <c r="N323" s="29">
        <f>20.6</f>
        <v>20.6</v>
      </c>
      <c r="O323" s="29">
        <v>294828.90000000002</v>
      </c>
      <c r="P323" s="51">
        <f t="shared" si="20"/>
        <v>0.20593640495203533</v>
      </c>
      <c r="Q323" s="29">
        <f>8.4</f>
        <v>8.4</v>
      </c>
      <c r="R323" s="43">
        <v>38.700000000000003</v>
      </c>
      <c r="S323" s="32">
        <f t="shared" si="23"/>
        <v>0.1025641025641026</v>
      </c>
      <c r="T323" s="54" t="e">
        <f>VLOOKUP(A323,[1]인포맥스!$A:$I,9,0)</f>
        <v>#N/A</v>
      </c>
      <c r="U323" s="70" t="e">
        <f t="shared" si="24"/>
        <v>#N/A</v>
      </c>
    </row>
    <row r="324" spans="1:21" x14ac:dyDescent="0.25">
      <c r="A324" s="3">
        <v>34577</v>
      </c>
      <c r="B324" s="29" t="e">
        <f>NA()</f>
        <v>#N/A</v>
      </c>
      <c r="C324" s="29" t="e">
        <v>#N/A</v>
      </c>
      <c r="D324" s="50">
        <f>58</f>
        <v>58</v>
      </c>
      <c r="E324" s="30">
        <v>58</v>
      </c>
      <c r="F324" s="29">
        <f>16.2</f>
        <v>16.2</v>
      </c>
      <c r="G324" s="31" t="e">
        <v>#N/A</v>
      </c>
      <c r="H324" s="51" t="e">
        <f t="shared" si="21"/>
        <v>#N/A</v>
      </c>
      <c r="I324" s="29">
        <f>3.2</f>
        <v>3.2</v>
      </c>
      <c r="J324" s="31">
        <v>62.79</v>
      </c>
      <c r="K324" s="51">
        <f t="shared" si="22"/>
        <v>3.2390660966787221E-2</v>
      </c>
      <c r="L324" s="29">
        <f>7.4</f>
        <v>7.4</v>
      </c>
      <c r="M324" s="30">
        <v>7.4</v>
      </c>
      <c r="N324" s="29">
        <f>20.5</f>
        <v>20.5</v>
      </c>
      <c r="O324" s="29">
        <v>289497.7</v>
      </c>
      <c r="P324" s="51">
        <f t="shared" si="20"/>
        <v>0.20484480476781067</v>
      </c>
      <c r="Q324" s="29">
        <f>8.4</f>
        <v>8.4</v>
      </c>
      <c r="R324" s="43">
        <v>38.4</v>
      </c>
      <c r="S324" s="32">
        <f t="shared" si="23"/>
        <v>9.4017094017093933E-2</v>
      </c>
      <c r="T324" s="54" t="e">
        <f>VLOOKUP(A324,[1]인포맥스!$A:$I,9,0)</f>
        <v>#N/A</v>
      </c>
      <c r="U324" s="70" t="e">
        <f t="shared" si="24"/>
        <v>#N/A</v>
      </c>
    </row>
    <row r="325" spans="1:21" x14ac:dyDescent="0.25">
      <c r="A325" s="3">
        <v>34546</v>
      </c>
      <c r="B325" s="29" t="e">
        <f>NA()</f>
        <v>#N/A</v>
      </c>
      <c r="C325" s="29" t="e">
        <v>#N/A</v>
      </c>
      <c r="D325" s="50">
        <f>58.5</f>
        <v>58.5</v>
      </c>
      <c r="E325" s="30">
        <v>58.5</v>
      </c>
      <c r="F325" s="29">
        <f>14.2</f>
        <v>14.2</v>
      </c>
      <c r="G325" s="31" t="e">
        <v>#N/A</v>
      </c>
      <c r="H325" s="51" t="e">
        <f t="shared" si="21"/>
        <v>#N/A</v>
      </c>
      <c r="I325" s="29">
        <f>2.4</f>
        <v>2.4</v>
      </c>
      <c r="J325" s="31">
        <v>62.16</v>
      </c>
      <c r="K325" s="51">
        <f t="shared" si="22"/>
        <v>2.4390243902438973E-2</v>
      </c>
      <c r="L325" s="29">
        <f>6.9</f>
        <v>6.9</v>
      </c>
      <c r="M325" s="30">
        <v>6.9</v>
      </c>
      <c r="N325" s="29">
        <f>20.8</f>
        <v>20.8</v>
      </c>
      <c r="O325" s="29">
        <v>285738.59999999998</v>
      </c>
      <c r="P325" s="51">
        <f t="shared" ref="P325:P388" si="25">(O325-O337)/O337</f>
        <v>0.20816792153423772</v>
      </c>
      <c r="Q325" s="29">
        <f>8.7</f>
        <v>8.6999999999999993</v>
      </c>
      <c r="R325" s="43">
        <v>38.200000000000003</v>
      </c>
      <c r="S325" s="32">
        <f t="shared" si="23"/>
        <v>9.4555873925501563E-2</v>
      </c>
      <c r="T325" s="54" t="e">
        <f>VLOOKUP(A325,[1]인포맥스!$A:$I,9,0)</f>
        <v>#N/A</v>
      </c>
      <c r="U325" s="70" t="e">
        <f t="shared" si="24"/>
        <v>#N/A</v>
      </c>
    </row>
    <row r="326" spans="1:21" x14ac:dyDescent="0.25">
      <c r="A326" s="3">
        <v>34515</v>
      </c>
      <c r="B326" s="29" t="e">
        <f>NA()</f>
        <v>#N/A</v>
      </c>
      <c r="C326" s="29" t="e">
        <v>#N/A</v>
      </c>
      <c r="D326" s="50">
        <f>58.8</f>
        <v>58.8</v>
      </c>
      <c r="E326" s="30">
        <v>58.8</v>
      </c>
      <c r="F326" s="29">
        <f>14.6</f>
        <v>14.6</v>
      </c>
      <c r="G326" s="31" t="e">
        <v>#N/A</v>
      </c>
      <c r="H326" s="51" t="e">
        <f t="shared" ref="H326:H389" si="26">(G326-G338)/G338</f>
        <v>#N/A</v>
      </c>
      <c r="I326" s="29">
        <f>2</f>
        <v>2</v>
      </c>
      <c r="J326" s="31">
        <v>61.93</v>
      </c>
      <c r="K326" s="51">
        <f t="shared" ref="K326:K389" si="27">(J326-J338)/J338</f>
        <v>1.9591702337833351E-2</v>
      </c>
      <c r="L326" s="29">
        <f>5.9</f>
        <v>5.9</v>
      </c>
      <c r="M326" s="30">
        <v>5.9</v>
      </c>
      <c r="N326" s="29">
        <f>20</f>
        <v>20</v>
      </c>
      <c r="O326" s="29">
        <v>279562.2</v>
      </c>
      <c r="P326" s="51">
        <f t="shared" si="25"/>
        <v>0.19960711416860633</v>
      </c>
      <c r="Q326" s="29">
        <f>9.1</f>
        <v>9.1</v>
      </c>
      <c r="R326" s="43">
        <v>38</v>
      </c>
      <c r="S326" s="32">
        <f t="shared" ref="S326:S389" si="28">(R326-R338)/R338</f>
        <v>9.5100864553314027E-2</v>
      </c>
      <c r="T326" s="54" t="e">
        <f>VLOOKUP(A326,[1]인포맥스!$A:$I,9,0)</f>
        <v>#N/A</v>
      </c>
      <c r="U326" s="70" t="e">
        <f t="shared" ref="U326:U389" si="29">(T326-T338)/T338</f>
        <v>#N/A</v>
      </c>
    </row>
    <row r="327" spans="1:21" x14ac:dyDescent="0.25">
      <c r="A327" s="3">
        <v>34485</v>
      </c>
      <c r="B327" s="29" t="e">
        <f>NA()</f>
        <v>#N/A</v>
      </c>
      <c r="C327" s="29" t="e">
        <v>#N/A</v>
      </c>
      <c r="D327" s="50">
        <f>58.2</f>
        <v>58.2</v>
      </c>
      <c r="E327" s="30">
        <v>58.2</v>
      </c>
      <c r="F327" s="29">
        <f>16.5</f>
        <v>16.5</v>
      </c>
      <c r="G327" s="31" t="e">
        <v>#N/A</v>
      </c>
      <c r="H327" s="51" t="e">
        <f t="shared" si="26"/>
        <v>#N/A</v>
      </c>
      <c r="I327" s="29">
        <f>1.7</f>
        <v>1.7</v>
      </c>
      <c r="J327" s="31">
        <v>61.69</v>
      </c>
      <c r="K327" s="51">
        <f t="shared" si="27"/>
        <v>1.6644693473961733E-2</v>
      </c>
      <c r="L327" s="29">
        <f>5.7</f>
        <v>5.7</v>
      </c>
      <c r="M327" s="30">
        <v>5.7</v>
      </c>
      <c r="N327" s="29">
        <f>20.2</f>
        <v>20.2</v>
      </c>
      <c r="O327" s="29">
        <v>275995.7</v>
      </c>
      <c r="P327" s="51">
        <f t="shared" si="25"/>
        <v>0.20216035065298799</v>
      </c>
      <c r="Q327" s="29">
        <f>9.4</f>
        <v>9.4</v>
      </c>
      <c r="R327" s="43">
        <v>37.9</v>
      </c>
      <c r="S327" s="32">
        <f t="shared" si="28"/>
        <v>0.10174418604651163</v>
      </c>
      <c r="T327" s="54" t="e">
        <f>VLOOKUP(A327,[1]인포맥스!$A:$I,9,0)</f>
        <v>#N/A</v>
      </c>
      <c r="U327" s="70" t="e">
        <f t="shared" si="29"/>
        <v>#N/A</v>
      </c>
    </row>
    <row r="328" spans="1:21" x14ac:dyDescent="0.25">
      <c r="A328" s="3">
        <v>34454</v>
      </c>
      <c r="B328" s="29" t="e">
        <f>NA()</f>
        <v>#N/A</v>
      </c>
      <c r="C328" s="29" t="e">
        <v>#N/A</v>
      </c>
      <c r="D328" s="50">
        <f>57.4</f>
        <v>57.4</v>
      </c>
      <c r="E328" s="30">
        <v>57.4</v>
      </c>
      <c r="F328" s="29">
        <f>13.6</f>
        <v>13.6</v>
      </c>
      <c r="G328" s="31" t="e">
        <v>#N/A</v>
      </c>
      <c r="H328" s="51" t="e">
        <f t="shared" si="26"/>
        <v>#N/A</v>
      </c>
      <c r="I328" s="29">
        <f>1.9</f>
        <v>1.9</v>
      </c>
      <c r="J328" s="31">
        <v>61.76</v>
      </c>
      <c r="K328" s="51">
        <f t="shared" si="27"/>
        <v>1.9141914191419085E-2</v>
      </c>
      <c r="L328" s="29">
        <f>5.9</f>
        <v>5.9</v>
      </c>
      <c r="M328" s="30">
        <v>5.9</v>
      </c>
      <c r="N328" s="29">
        <f>20.7</f>
        <v>20.7</v>
      </c>
      <c r="O328" s="29">
        <v>273108.09999999998</v>
      </c>
      <c r="P328" s="51">
        <f t="shared" si="25"/>
        <v>0.20726503566210833</v>
      </c>
      <c r="Q328" s="29">
        <f>9.7</f>
        <v>9.6999999999999993</v>
      </c>
      <c r="R328" s="43">
        <v>37.700000000000003</v>
      </c>
      <c r="S328" s="32">
        <f t="shared" si="28"/>
        <v>0.1023391812865497</v>
      </c>
      <c r="T328" s="54" t="e">
        <f>VLOOKUP(A328,[1]인포맥스!$A:$I,9,0)</f>
        <v>#N/A</v>
      </c>
      <c r="U328" s="70" t="e">
        <f t="shared" si="29"/>
        <v>#N/A</v>
      </c>
    </row>
    <row r="329" spans="1:21" x14ac:dyDescent="0.25">
      <c r="A329" s="3">
        <v>34424</v>
      </c>
      <c r="B329" s="29" t="e">
        <f>NA()</f>
        <v>#N/A</v>
      </c>
      <c r="C329" s="29" t="e">
        <v>#N/A</v>
      </c>
      <c r="D329" s="50">
        <f>56.9</f>
        <v>56.9</v>
      </c>
      <c r="E329" s="30">
        <v>56.9</v>
      </c>
      <c r="F329" s="29">
        <f>10.1</f>
        <v>10.1</v>
      </c>
      <c r="G329" s="31" t="e">
        <v>#N/A</v>
      </c>
      <c r="H329" s="51" t="e">
        <f t="shared" si="26"/>
        <v>#N/A</v>
      </c>
      <c r="I329" s="29">
        <f>2.1</f>
        <v>2.1</v>
      </c>
      <c r="J329" s="31">
        <v>61.69</v>
      </c>
      <c r="K329" s="51">
        <f t="shared" si="27"/>
        <v>2.0681667769688949E-2</v>
      </c>
      <c r="L329" s="29">
        <f>6.4</f>
        <v>6.4</v>
      </c>
      <c r="M329" s="30">
        <v>6.4</v>
      </c>
      <c r="N329" s="29">
        <f>18.4</f>
        <v>18.399999999999999</v>
      </c>
      <c r="O329" s="29">
        <v>266964.90000000002</v>
      </c>
      <c r="P329" s="51">
        <f t="shared" si="25"/>
        <v>0.1891002627945304</v>
      </c>
      <c r="Q329" s="29">
        <f>9.9</f>
        <v>9.9</v>
      </c>
      <c r="R329" s="43">
        <v>37.5</v>
      </c>
      <c r="S329" s="32">
        <f t="shared" si="28"/>
        <v>0.10294117647058823</v>
      </c>
      <c r="T329" s="54" t="e">
        <f>VLOOKUP(A329,[1]인포맥스!$A:$I,9,0)</f>
        <v>#N/A</v>
      </c>
      <c r="U329" s="70" t="e">
        <f t="shared" si="29"/>
        <v>#N/A</v>
      </c>
    </row>
    <row r="330" spans="1:21" x14ac:dyDescent="0.25">
      <c r="A330" s="3">
        <v>34393</v>
      </c>
      <c r="B330" s="29" t="e">
        <f>NA()</f>
        <v>#N/A</v>
      </c>
      <c r="C330" s="29" t="e">
        <v>#N/A</v>
      </c>
      <c r="D330" s="50">
        <f>56.5</f>
        <v>56.5</v>
      </c>
      <c r="E330" s="30">
        <v>56.5</v>
      </c>
      <c r="F330" s="29">
        <f>4.5</f>
        <v>4.5</v>
      </c>
      <c r="G330" s="31" t="e">
        <v>#N/A</v>
      </c>
      <c r="H330" s="51" t="e">
        <f t="shared" si="26"/>
        <v>#N/A</v>
      </c>
      <c r="I330" s="29">
        <f>2.9</f>
        <v>2.9</v>
      </c>
      <c r="J330" s="31">
        <v>61.76</v>
      </c>
      <c r="K330" s="51">
        <f t="shared" si="27"/>
        <v>2.8647568287808109E-2</v>
      </c>
      <c r="L330" s="29">
        <f>6.8</f>
        <v>6.8</v>
      </c>
      <c r="M330" s="30">
        <v>6.8</v>
      </c>
      <c r="N330" s="29">
        <f>18.4</f>
        <v>18.399999999999999</v>
      </c>
      <c r="O330" s="29">
        <v>261715.6</v>
      </c>
      <c r="P330" s="51">
        <f t="shared" si="25"/>
        <v>0.18431708301581476</v>
      </c>
      <c r="Q330" s="29">
        <f>9.6</f>
        <v>9.6</v>
      </c>
      <c r="R330" s="43">
        <v>37.200000000000003</v>
      </c>
      <c r="S330" s="32">
        <f t="shared" si="28"/>
        <v>0.10059171597633154</v>
      </c>
      <c r="T330" s="54" t="e">
        <f>VLOOKUP(A330,[1]인포맥스!$A:$I,9,0)</f>
        <v>#N/A</v>
      </c>
      <c r="U330" s="70" t="e">
        <f t="shared" si="29"/>
        <v>#N/A</v>
      </c>
    </row>
    <row r="331" spans="1:21" x14ac:dyDescent="0.25">
      <c r="A331" s="3">
        <v>34365</v>
      </c>
      <c r="B331" s="29" t="e">
        <f>NA()</f>
        <v>#N/A</v>
      </c>
      <c r="C331" s="29" t="e">
        <v>#N/A</v>
      </c>
      <c r="D331" s="50">
        <f>56</f>
        <v>56</v>
      </c>
      <c r="E331" s="30">
        <v>56</v>
      </c>
      <c r="F331" s="29">
        <f>13.9</f>
        <v>13.9</v>
      </c>
      <c r="G331" s="31" t="e">
        <v>#N/A</v>
      </c>
      <c r="H331" s="51" t="e">
        <f t="shared" si="26"/>
        <v>#N/A</v>
      </c>
      <c r="I331" s="29">
        <f>2.6</f>
        <v>2.6</v>
      </c>
      <c r="J331" s="31">
        <v>61.61</v>
      </c>
      <c r="K331" s="51">
        <f t="shared" si="27"/>
        <v>2.6149233844103937E-2</v>
      </c>
      <c r="L331" s="29">
        <f>6.4</f>
        <v>6.4</v>
      </c>
      <c r="M331" s="30">
        <v>6.4</v>
      </c>
      <c r="N331" s="29">
        <f>17.5</f>
        <v>17.5</v>
      </c>
      <c r="O331" s="29">
        <v>255917.9</v>
      </c>
      <c r="P331" s="51">
        <f t="shared" si="25"/>
        <v>0.17535815145031067</v>
      </c>
      <c r="Q331" s="29">
        <f>9.1</f>
        <v>9.1</v>
      </c>
      <c r="R331" s="43">
        <v>36.799999999999997</v>
      </c>
      <c r="S331" s="32">
        <f t="shared" si="28"/>
        <v>9.1988130563798037E-2</v>
      </c>
      <c r="T331" s="54" t="e">
        <f>VLOOKUP(A331,[1]인포맥스!$A:$I,9,0)</f>
        <v>#N/A</v>
      </c>
      <c r="U331" s="70" t="e">
        <f t="shared" si="29"/>
        <v>#N/A</v>
      </c>
    </row>
    <row r="332" spans="1:21" x14ac:dyDescent="0.25">
      <c r="A332" s="3">
        <v>34334</v>
      </c>
      <c r="B332" s="29" t="e">
        <f>NA()</f>
        <v>#N/A</v>
      </c>
      <c r="C332" s="29" t="e">
        <v>#N/A</v>
      </c>
      <c r="D332" s="50">
        <f>55.6</f>
        <v>55.6</v>
      </c>
      <c r="E332" s="30">
        <v>55.6</v>
      </c>
      <c r="F332" s="29">
        <f>15.6</f>
        <v>15.6</v>
      </c>
      <c r="G332" s="31" t="e">
        <v>#N/A</v>
      </c>
      <c r="H332" s="51" t="e">
        <f t="shared" si="26"/>
        <v>#N/A</v>
      </c>
      <c r="I332" s="29">
        <f>2</f>
        <v>2</v>
      </c>
      <c r="J332" s="31">
        <v>60.98</v>
      </c>
      <c r="K332" s="51">
        <f t="shared" si="27"/>
        <v>1.9561946162848932E-2</v>
      </c>
      <c r="L332" s="29">
        <f>5.8</f>
        <v>5.8</v>
      </c>
      <c r="M332" s="30">
        <v>5.8</v>
      </c>
      <c r="N332" s="29">
        <f>19.3</f>
        <v>19.3</v>
      </c>
      <c r="O332" s="29">
        <v>253598.5</v>
      </c>
      <c r="P332" s="51">
        <f t="shared" si="25"/>
        <v>0.19296176619598657</v>
      </c>
      <c r="Q332" s="29">
        <f>8.6</f>
        <v>8.6</v>
      </c>
      <c r="R332" s="43">
        <v>36.4</v>
      </c>
      <c r="S332" s="32">
        <f t="shared" si="28"/>
        <v>8.9820359281437126E-2</v>
      </c>
      <c r="T332" s="54" t="e">
        <f>VLOOKUP(A332,[1]인포맥스!$A:$I,9,0)</f>
        <v>#N/A</v>
      </c>
      <c r="U332" s="70" t="e">
        <f t="shared" si="29"/>
        <v>#N/A</v>
      </c>
    </row>
    <row r="333" spans="1:21" x14ac:dyDescent="0.25">
      <c r="A333" s="3">
        <v>34303</v>
      </c>
      <c r="B333" s="29" t="e">
        <f>NA()</f>
        <v>#N/A</v>
      </c>
      <c r="C333" s="29" t="e">
        <v>#N/A</v>
      </c>
      <c r="D333" s="50">
        <f>53.8</f>
        <v>53.8</v>
      </c>
      <c r="E333" s="30">
        <v>53.8</v>
      </c>
      <c r="F333" s="29">
        <f>10.8</f>
        <v>10.8</v>
      </c>
      <c r="G333" s="31" t="e">
        <v>#N/A</v>
      </c>
      <c r="H333" s="51" t="e">
        <f t="shared" si="26"/>
        <v>#N/A</v>
      </c>
      <c r="I333" s="29">
        <f>1.8</f>
        <v>1.8</v>
      </c>
      <c r="J333" s="31">
        <v>60.82</v>
      </c>
      <c r="K333" s="51">
        <f t="shared" si="27"/>
        <v>1.8248786204587367E-2</v>
      </c>
      <c r="L333" s="29">
        <f>5.5</f>
        <v>5.5</v>
      </c>
      <c r="M333" s="30">
        <v>5.5</v>
      </c>
      <c r="N333" s="29">
        <f>19.5</f>
        <v>19.5</v>
      </c>
      <c r="O333" s="29">
        <v>249747.20000000001</v>
      </c>
      <c r="P333" s="51">
        <f t="shared" si="25"/>
        <v>0.19511078167103008</v>
      </c>
      <c r="Q333" s="29">
        <f>7.9</f>
        <v>7.9</v>
      </c>
      <c r="R333" s="43">
        <v>35.9</v>
      </c>
      <c r="S333" s="32">
        <f t="shared" si="28"/>
        <v>8.7878787878787834E-2</v>
      </c>
      <c r="T333" s="54" t="e">
        <f>VLOOKUP(A333,[1]인포맥스!$A:$I,9,0)</f>
        <v>#N/A</v>
      </c>
      <c r="U333" s="70" t="e">
        <f t="shared" si="29"/>
        <v>#N/A</v>
      </c>
    </row>
    <row r="334" spans="1:21" x14ac:dyDescent="0.25">
      <c r="A334" s="3">
        <v>34273</v>
      </c>
      <c r="B334" s="29" t="e">
        <f>NA()</f>
        <v>#N/A</v>
      </c>
      <c r="C334" s="29" t="e">
        <v>#N/A</v>
      </c>
      <c r="D334" s="50">
        <f>53.4</f>
        <v>53.4</v>
      </c>
      <c r="E334" s="30">
        <v>53.4</v>
      </c>
      <c r="F334" s="29">
        <f>5</f>
        <v>5</v>
      </c>
      <c r="G334" s="31" t="e">
        <v>#N/A</v>
      </c>
      <c r="H334" s="51" t="e">
        <f t="shared" si="26"/>
        <v>#N/A</v>
      </c>
      <c r="I334" s="29">
        <f>1.6</f>
        <v>1.6</v>
      </c>
      <c r="J334" s="31">
        <v>60.82</v>
      </c>
      <c r="K334" s="51">
        <f t="shared" si="27"/>
        <v>1.5698062792251131E-2</v>
      </c>
      <c r="L334" s="29">
        <f>5.1</f>
        <v>5.0999999999999996</v>
      </c>
      <c r="M334" s="30">
        <v>5.0999999999999996</v>
      </c>
      <c r="N334" s="29">
        <f>21</f>
        <v>21</v>
      </c>
      <c r="O334" s="29">
        <v>247130.4</v>
      </c>
      <c r="P334" s="51">
        <f t="shared" si="25"/>
        <v>0.21007583710690828</v>
      </c>
      <c r="Q334" s="29">
        <f>7.3</f>
        <v>7.3</v>
      </c>
      <c r="R334" s="43">
        <v>35.5</v>
      </c>
      <c r="S334" s="32">
        <f t="shared" si="28"/>
        <v>8.5626911314984622E-2</v>
      </c>
      <c r="T334" s="54" t="e">
        <f>VLOOKUP(A334,[1]인포맥스!$A:$I,9,0)</f>
        <v>#N/A</v>
      </c>
      <c r="U334" s="70" t="e">
        <f t="shared" si="29"/>
        <v>#N/A</v>
      </c>
    </row>
    <row r="335" spans="1:21" x14ac:dyDescent="0.25">
      <c r="A335" s="3">
        <v>34242</v>
      </c>
      <c r="B335" s="29" t="e">
        <f>NA()</f>
        <v>#N/A</v>
      </c>
      <c r="C335" s="29" t="e">
        <v>#N/A</v>
      </c>
      <c r="D335" s="50">
        <f>50.8</f>
        <v>50.8</v>
      </c>
      <c r="E335" s="30">
        <v>50.8</v>
      </c>
      <c r="F335" s="29">
        <f>8.5</f>
        <v>8.5</v>
      </c>
      <c r="G335" s="31" t="e">
        <v>#N/A</v>
      </c>
      <c r="H335" s="51" t="e">
        <f t="shared" si="26"/>
        <v>#N/A</v>
      </c>
      <c r="I335" s="29">
        <f>1.6</f>
        <v>1.6</v>
      </c>
      <c r="J335" s="31">
        <v>60.98</v>
      </c>
      <c r="K335" s="51">
        <f t="shared" si="27"/>
        <v>1.5656229180546266E-2</v>
      </c>
      <c r="L335" s="29">
        <f>4.6</f>
        <v>4.5999999999999996</v>
      </c>
      <c r="M335" s="30">
        <v>4.5999999999999996</v>
      </c>
      <c r="N335" s="29">
        <f>22.9</f>
        <v>22.9</v>
      </c>
      <c r="O335" s="29">
        <v>244481.3</v>
      </c>
      <c r="P335" s="51">
        <f t="shared" si="25"/>
        <v>0.22941787011325587</v>
      </c>
      <c r="Q335" s="29">
        <f>6.9</f>
        <v>6.9</v>
      </c>
      <c r="R335" s="43">
        <v>35.1</v>
      </c>
      <c r="S335" s="32">
        <f t="shared" si="28"/>
        <v>8.0000000000000043E-2</v>
      </c>
      <c r="T335" s="54" t="e">
        <f>VLOOKUP(A335,[1]인포맥스!$A:$I,9,0)</f>
        <v>#N/A</v>
      </c>
      <c r="U335" s="70" t="e">
        <f t="shared" si="29"/>
        <v>#N/A</v>
      </c>
    </row>
    <row r="336" spans="1:21" x14ac:dyDescent="0.25">
      <c r="A336" s="3">
        <v>34212</v>
      </c>
      <c r="B336" s="29" t="e">
        <f>NA()</f>
        <v>#N/A</v>
      </c>
      <c r="C336" s="29" t="e">
        <v>#N/A</v>
      </c>
      <c r="D336" s="50">
        <f>50.7</f>
        <v>50.7</v>
      </c>
      <c r="E336" s="30">
        <v>50.7</v>
      </c>
      <c r="F336" s="29">
        <f>6</f>
        <v>6</v>
      </c>
      <c r="G336" s="31" t="e">
        <v>#N/A</v>
      </c>
      <c r="H336" s="51" t="e">
        <f t="shared" si="26"/>
        <v>#N/A</v>
      </c>
      <c r="I336" s="29">
        <f>0.9</f>
        <v>0.9</v>
      </c>
      <c r="J336" s="31">
        <v>60.82</v>
      </c>
      <c r="K336" s="51">
        <f t="shared" si="27"/>
        <v>8.958195089581936E-3</v>
      </c>
      <c r="L336" s="29">
        <f>4.4</f>
        <v>4.4000000000000004</v>
      </c>
      <c r="M336" s="30">
        <v>4.4000000000000004</v>
      </c>
      <c r="N336" s="29">
        <f>22.5</f>
        <v>22.5</v>
      </c>
      <c r="O336" s="29">
        <v>240278</v>
      </c>
      <c r="P336" s="51">
        <f t="shared" si="25"/>
        <v>0.2248514164565163</v>
      </c>
      <c r="Q336" s="29">
        <f>7.3</f>
        <v>7.3</v>
      </c>
      <c r="R336" s="43">
        <v>35.1</v>
      </c>
      <c r="S336" s="32">
        <f t="shared" si="28"/>
        <v>8.3333333333333426E-2</v>
      </c>
      <c r="T336" s="54" t="e">
        <f>VLOOKUP(A336,[1]인포맥스!$A:$I,9,0)</f>
        <v>#N/A</v>
      </c>
      <c r="U336" s="70" t="e">
        <f t="shared" si="29"/>
        <v>#N/A</v>
      </c>
    </row>
    <row r="337" spans="1:21" x14ac:dyDescent="0.25">
      <c r="A337" s="3">
        <v>34181</v>
      </c>
      <c r="B337" s="29" t="e">
        <f>NA()</f>
        <v>#N/A</v>
      </c>
      <c r="C337" s="29" t="e">
        <v>#N/A</v>
      </c>
      <c r="D337" s="50">
        <f>50.2</f>
        <v>50.2</v>
      </c>
      <c r="E337" s="30">
        <v>50.2</v>
      </c>
      <c r="F337" s="29">
        <f>4.9</f>
        <v>4.9000000000000004</v>
      </c>
      <c r="G337" s="31" t="e">
        <v>#N/A</v>
      </c>
      <c r="H337" s="51" t="e">
        <f t="shared" si="26"/>
        <v>#N/A</v>
      </c>
      <c r="I337" s="29">
        <f>0.7</f>
        <v>0.7</v>
      </c>
      <c r="J337" s="31">
        <v>60.68</v>
      </c>
      <c r="K337" s="51">
        <f t="shared" si="27"/>
        <v>6.6357000663569768E-3</v>
      </c>
      <c r="L337" s="29">
        <f>4.3</f>
        <v>4.3</v>
      </c>
      <c r="M337" s="30">
        <v>4.3</v>
      </c>
      <c r="N337" s="29">
        <f>22.1</f>
        <v>22.1</v>
      </c>
      <c r="O337" s="29">
        <v>236505.7</v>
      </c>
      <c r="P337" s="51">
        <f t="shared" si="25"/>
        <v>0.22063615029410688</v>
      </c>
      <c r="Q337" s="29">
        <f>7.4</f>
        <v>7.4</v>
      </c>
      <c r="R337" s="43">
        <v>34.9</v>
      </c>
      <c r="S337" s="32">
        <f t="shared" si="28"/>
        <v>7.7160493827160503E-2</v>
      </c>
      <c r="T337" s="54" t="e">
        <f>VLOOKUP(A337,[1]인포맥스!$A:$I,9,0)</f>
        <v>#N/A</v>
      </c>
      <c r="U337" s="70" t="e">
        <f t="shared" si="29"/>
        <v>#N/A</v>
      </c>
    </row>
    <row r="338" spans="1:21" x14ac:dyDescent="0.25">
      <c r="A338" s="3">
        <v>34150</v>
      </c>
      <c r="B338" s="29" t="e">
        <f>NA()</f>
        <v>#N/A</v>
      </c>
      <c r="C338" s="29" t="e">
        <v>#N/A</v>
      </c>
      <c r="D338" s="50">
        <f>49.6</f>
        <v>49.6</v>
      </c>
      <c r="E338" s="30">
        <v>49.6</v>
      </c>
      <c r="F338" s="29">
        <f>2.8</f>
        <v>2.8</v>
      </c>
      <c r="G338" s="31" t="e">
        <v>#N/A</v>
      </c>
      <c r="H338" s="51" t="e">
        <f t="shared" si="26"/>
        <v>#N/A</v>
      </c>
      <c r="I338" s="29">
        <f>1.4</f>
        <v>1.4</v>
      </c>
      <c r="J338" s="31">
        <v>60.74</v>
      </c>
      <c r="K338" s="51">
        <f t="shared" si="27"/>
        <v>1.4362057448229782E-2</v>
      </c>
      <c r="L338" s="29">
        <f>4.8</f>
        <v>4.8</v>
      </c>
      <c r="M338" s="30">
        <v>4.8</v>
      </c>
      <c r="N338" s="29">
        <f>22.6</f>
        <v>22.6</v>
      </c>
      <c r="O338" s="29">
        <v>233044.8</v>
      </c>
      <c r="P338" s="51">
        <f t="shared" si="25"/>
        <v>0.22575806188625253</v>
      </c>
      <c r="Q338" s="29">
        <f>7.6</f>
        <v>7.6</v>
      </c>
      <c r="R338" s="43">
        <v>34.700000000000003</v>
      </c>
      <c r="S338" s="32">
        <f t="shared" si="28"/>
        <v>7.7639751552795025E-2</v>
      </c>
      <c r="T338" s="54" t="e">
        <f>VLOOKUP(A338,[1]인포맥스!$A:$I,9,0)</f>
        <v>#N/A</v>
      </c>
      <c r="U338" s="70" t="e">
        <f t="shared" si="29"/>
        <v>#N/A</v>
      </c>
    </row>
    <row r="339" spans="1:21" x14ac:dyDescent="0.25">
      <c r="A339" s="3">
        <v>34120</v>
      </c>
      <c r="B339" s="29" t="e">
        <f>NA()</f>
        <v>#N/A</v>
      </c>
      <c r="C339" s="29" t="e">
        <v>#N/A</v>
      </c>
      <c r="D339" s="50">
        <f>51.2</f>
        <v>51.2</v>
      </c>
      <c r="E339" s="30">
        <v>51.2</v>
      </c>
      <c r="F339" s="29">
        <f>6.4</f>
        <v>6.4</v>
      </c>
      <c r="G339" s="31" t="e">
        <v>#N/A</v>
      </c>
      <c r="H339" s="51" t="e">
        <f t="shared" si="26"/>
        <v>#N/A</v>
      </c>
      <c r="I339" s="29">
        <f>1.7</f>
        <v>1.7</v>
      </c>
      <c r="J339" s="31">
        <v>60.68</v>
      </c>
      <c r="K339" s="51">
        <f t="shared" si="27"/>
        <v>1.7267393126571686E-2</v>
      </c>
      <c r="L339" s="29">
        <f>4.5</f>
        <v>4.5</v>
      </c>
      <c r="M339" s="30">
        <v>4.5</v>
      </c>
      <c r="N339" s="29">
        <f>21.4</f>
        <v>21.4</v>
      </c>
      <c r="O339" s="29">
        <v>229583.1</v>
      </c>
      <c r="P339" s="51">
        <f t="shared" si="25"/>
        <v>0.21378904527618386</v>
      </c>
      <c r="Q339" s="29">
        <f>7.2</f>
        <v>7.2</v>
      </c>
      <c r="R339" s="43">
        <v>34.4</v>
      </c>
      <c r="S339" s="32">
        <f t="shared" si="28"/>
        <v>7.4999999999999956E-2</v>
      </c>
      <c r="T339" s="54" t="e">
        <f>VLOOKUP(A339,[1]인포맥스!$A:$I,9,0)</f>
        <v>#N/A</v>
      </c>
      <c r="U339" s="70" t="e">
        <f t="shared" si="29"/>
        <v>#N/A</v>
      </c>
    </row>
    <row r="340" spans="1:21" x14ac:dyDescent="0.25">
      <c r="A340" s="3">
        <v>34089</v>
      </c>
      <c r="B340" s="29" t="e">
        <f>NA()</f>
        <v>#N/A</v>
      </c>
      <c r="C340" s="29" t="e">
        <v>#N/A</v>
      </c>
      <c r="D340" s="50">
        <f>50.2</f>
        <v>50.2</v>
      </c>
      <c r="E340" s="30">
        <v>50.2</v>
      </c>
      <c r="F340" s="29">
        <f>6.1</f>
        <v>6.1</v>
      </c>
      <c r="G340" s="31" t="e">
        <v>#N/A</v>
      </c>
      <c r="H340" s="51" t="e">
        <f t="shared" si="26"/>
        <v>#N/A</v>
      </c>
      <c r="I340" s="29">
        <f>1.9</f>
        <v>1.9</v>
      </c>
      <c r="J340" s="31">
        <v>60.6</v>
      </c>
      <c r="K340" s="51">
        <f t="shared" si="27"/>
        <v>1.865859808371154E-2</v>
      </c>
      <c r="L340" s="29">
        <f>4.8</f>
        <v>4.8</v>
      </c>
      <c r="M340" s="30">
        <v>4.8</v>
      </c>
      <c r="N340" s="29">
        <f>21.3</f>
        <v>21.3</v>
      </c>
      <c r="O340" s="29">
        <v>226220.5</v>
      </c>
      <c r="P340" s="51">
        <f t="shared" si="25"/>
        <v>0.21276266101691274</v>
      </c>
      <c r="Q340" s="29">
        <f>7.2</f>
        <v>7.2</v>
      </c>
      <c r="R340" s="43">
        <v>34.200000000000003</v>
      </c>
      <c r="S340" s="32">
        <f t="shared" si="28"/>
        <v>7.5471698113207614E-2</v>
      </c>
      <c r="T340" s="54" t="e">
        <f>VLOOKUP(A340,[1]인포맥스!$A:$I,9,0)</f>
        <v>#N/A</v>
      </c>
      <c r="U340" s="70" t="e">
        <f t="shared" si="29"/>
        <v>#N/A</v>
      </c>
    </row>
    <row r="341" spans="1:21" x14ac:dyDescent="0.25">
      <c r="A341" s="3">
        <v>34059</v>
      </c>
      <c r="B341" s="29" t="e">
        <f>NA()</f>
        <v>#N/A</v>
      </c>
      <c r="C341" s="29" t="e">
        <v>#N/A</v>
      </c>
      <c r="D341" s="50">
        <f>53.5</f>
        <v>53.5</v>
      </c>
      <c r="E341" s="30">
        <v>53.5</v>
      </c>
      <c r="F341" s="29">
        <f>7.6</f>
        <v>7.6</v>
      </c>
      <c r="G341" s="31" t="e">
        <v>#N/A</v>
      </c>
      <c r="H341" s="51" t="e">
        <f t="shared" si="26"/>
        <v>#N/A</v>
      </c>
      <c r="I341" s="29">
        <f>1.7</f>
        <v>1.7</v>
      </c>
      <c r="J341" s="31">
        <v>60.44</v>
      </c>
      <c r="K341" s="51">
        <f t="shared" si="27"/>
        <v>1.7165937394816491E-2</v>
      </c>
      <c r="L341" s="29">
        <f>4.8</f>
        <v>4.8</v>
      </c>
      <c r="M341" s="30">
        <v>4.8</v>
      </c>
      <c r="N341" s="29">
        <f>22.2</f>
        <v>22.2</v>
      </c>
      <c r="O341" s="29">
        <v>224510</v>
      </c>
      <c r="P341" s="51">
        <f t="shared" si="25"/>
        <v>0.22332840572808232</v>
      </c>
      <c r="Q341" s="29">
        <f>7</f>
        <v>7</v>
      </c>
      <c r="R341" s="43">
        <v>34</v>
      </c>
      <c r="S341" s="32">
        <f t="shared" si="28"/>
        <v>7.5949367088607542E-2</v>
      </c>
      <c r="T341" s="54" t="e">
        <f>VLOOKUP(A341,[1]인포맥스!$A:$I,9,0)</f>
        <v>#N/A</v>
      </c>
      <c r="U341" s="70" t="e">
        <f t="shared" si="29"/>
        <v>#N/A</v>
      </c>
    </row>
    <row r="342" spans="1:21" x14ac:dyDescent="0.25">
      <c r="A342" s="3">
        <v>34028</v>
      </c>
      <c r="B342" s="29" t="e">
        <f>NA()</f>
        <v>#N/A</v>
      </c>
      <c r="C342" s="29" t="e">
        <v>#N/A</v>
      </c>
      <c r="D342" s="50">
        <f>55.2</f>
        <v>55.2</v>
      </c>
      <c r="E342" s="30">
        <v>55.2</v>
      </c>
      <c r="F342" s="29">
        <f>15.4</f>
        <v>15.4</v>
      </c>
      <c r="G342" s="31" t="e">
        <v>#N/A</v>
      </c>
      <c r="H342" s="51" t="e">
        <f t="shared" si="26"/>
        <v>#N/A</v>
      </c>
      <c r="I342" s="29">
        <f>1.5</f>
        <v>1.5</v>
      </c>
      <c r="J342" s="31">
        <v>60.04</v>
      </c>
      <c r="K342" s="51">
        <f t="shared" si="27"/>
        <v>1.4531936465021957E-2</v>
      </c>
      <c r="L342" s="29">
        <f>4.6</f>
        <v>4.5999999999999996</v>
      </c>
      <c r="M342" s="30">
        <v>4.5999999999999996</v>
      </c>
      <c r="N342" s="29">
        <f>22.2</f>
        <v>22.2</v>
      </c>
      <c r="O342" s="29">
        <v>220984.4</v>
      </c>
      <c r="P342" s="51">
        <f t="shared" si="25"/>
        <v>0.22207702504439328</v>
      </c>
      <c r="Q342" s="29">
        <f>6.9</f>
        <v>6.9</v>
      </c>
      <c r="R342" s="43">
        <v>33.799999999999997</v>
      </c>
      <c r="S342" s="32">
        <f t="shared" si="28"/>
        <v>7.6433121019108236E-2</v>
      </c>
      <c r="T342" s="54" t="e">
        <f>VLOOKUP(A342,[1]인포맥스!$A:$I,9,0)</f>
        <v>#N/A</v>
      </c>
      <c r="U342" s="70" t="e">
        <f t="shared" si="29"/>
        <v>#N/A</v>
      </c>
    </row>
    <row r="343" spans="1:21" x14ac:dyDescent="0.25">
      <c r="A343" s="3">
        <v>34000</v>
      </c>
      <c r="B343" s="29" t="e">
        <f>NA()</f>
        <v>#N/A</v>
      </c>
      <c r="C343" s="29" t="e">
        <v>#N/A</v>
      </c>
      <c r="D343" s="50">
        <f>55.8</f>
        <v>55.8</v>
      </c>
      <c r="E343" s="30">
        <v>55.8</v>
      </c>
      <c r="F343" s="29">
        <f>-1.2</f>
        <v>-1.2</v>
      </c>
      <c r="G343" s="31" t="e">
        <v>#N/A</v>
      </c>
      <c r="H343" s="51" t="e">
        <f t="shared" si="26"/>
        <v>#N/A</v>
      </c>
      <c r="I343" s="29">
        <f>1.6</f>
        <v>1.6</v>
      </c>
      <c r="J343" s="31">
        <v>60.04</v>
      </c>
      <c r="K343" s="51">
        <f t="shared" si="27"/>
        <v>1.5905245346869674E-2</v>
      </c>
      <c r="L343" s="29">
        <f>4.5</f>
        <v>4.5</v>
      </c>
      <c r="M343" s="30">
        <v>4.5</v>
      </c>
      <c r="N343" s="29">
        <f>22</f>
        <v>22</v>
      </c>
      <c r="O343" s="29">
        <v>217736.1</v>
      </c>
      <c r="P343" s="51">
        <f t="shared" si="25"/>
        <v>0.21959007954867521</v>
      </c>
      <c r="Q343" s="29">
        <f>7.1</f>
        <v>7.1</v>
      </c>
      <c r="R343" s="43">
        <v>33.700000000000003</v>
      </c>
      <c r="S343" s="32">
        <f t="shared" si="28"/>
        <v>8.0128205128205246E-2</v>
      </c>
      <c r="T343" s="54" t="e">
        <f>VLOOKUP(A343,[1]인포맥스!$A:$I,9,0)</f>
        <v>#N/A</v>
      </c>
      <c r="U343" s="70" t="e">
        <f t="shared" si="29"/>
        <v>#N/A</v>
      </c>
    </row>
    <row r="344" spans="1:21" x14ac:dyDescent="0.25">
      <c r="A344" s="3">
        <v>33969</v>
      </c>
      <c r="B344" s="29" t="e">
        <f>NA()</f>
        <v>#N/A</v>
      </c>
      <c r="C344" s="29" t="e">
        <v>#N/A</v>
      </c>
      <c r="D344" s="50">
        <f>54.2</f>
        <v>54.2</v>
      </c>
      <c r="E344" s="30">
        <v>54.2</v>
      </c>
      <c r="F344" s="29">
        <f>-9</f>
        <v>-9</v>
      </c>
      <c r="G344" s="31" t="e">
        <v>#N/A</v>
      </c>
      <c r="H344" s="51" t="e">
        <f t="shared" si="26"/>
        <v>#N/A</v>
      </c>
      <c r="I344" s="29">
        <f>1.6</f>
        <v>1.6</v>
      </c>
      <c r="J344" s="31">
        <v>59.81</v>
      </c>
      <c r="K344" s="51">
        <f t="shared" si="27"/>
        <v>1.5967385765245538E-2</v>
      </c>
      <c r="L344" s="29">
        <f>4.5</f>
        <v>4.5</v>
      </c>
      <c r="M344" s="30">
        <v>4.5</v>
      </c>
      <c r="N344" s="29">
        <f>21.7</f>
        <v>21.7</v>
      </c>
      <c r="O344" s="29">
        <v>212578.9</v>
      </c>
      <c r="P344" s="51">
        <f t="shared" si="25"/>
        <v>0.21683091125983697</v>
      </c>
      <c r="Q344" s="29">
        <f>6.7</f>
        <v>6.7</v>
      </c>
      <c r="R344" s="43">
        <v>33.4</v>
      </c>
      <c r="S344" s="32">
        <f t="shared" si="28"/>
        <v>7.3954983922829481E-2</v>
      </c>
      <c r="T344" s="54" t="e">
        <f>VLOOKUP(A344,[1]인포맥스!$A:$I,9,0)</f>
        <v>#N/A</v>
      </c>
      <c r="U344" s="70" t="e">
        <f t="shared" si="29"/>
        <v>#N/A</v>
      </c>
    </row>
    <row r="345" spans="1:21" x14ac:dyDescent="0.25">
      <c r="A345" s="3">
        <v>33938</v>
      </c>
      <c r="B345" s="29" t="e">
        <f>NA()</f>
        <v>#N/A</v>
      </c>
      <c r="C345" s="29" t="e">
        <v>#N/A</v>
      </c>
      <c r="D345" s="50">
        <f>53.6</f>
        <v>53.6</v>
      </c>
      <c r="E345" s="30">
        <v>53.6</v>
      </c>
      <c r="F345" s="29">
        <f>-0.7</f>
        <v>-0.7</v>
      </c>
      <c r="G345" s="31" t="e">
        <v>#N/A</v>
      </c>
      <c r="H345" s="51" t="e">
        <f t="shared" si="26"/>
        <v>#N/A</v>
      </c>
      <c r="I345" s="29">
        <f>1.8</f>
        <v>1.8</v>
      </c>
      <c r="J345" s="31">
        <v>59.73</v>
      </c>
      <c r="K345" s="51">
        <f t="shared" si="27"/>
        <v>1.7546848381601261E-2</v>
      </c>
      <c r="L345" s="29">
        <f>4.4</f>
        <v>4.4000000000000004</v>
      </c>
      <c r="M345" s="30">
        <v>4.4000000000000004</v>
      </c>
      <c r="N345" s="29">
        <f>21.2</f>
        <v>21.2</v>
      </c>
      <c r="O345" s="29">
        <v>208974.1</v>
      </c>
      <c r="P345" s="51">
        <f t="shared" si="25"/>
        <v>0.21177422254179404</v>
      </c>
      <c r="Q345" s="29">
        <f>6.3</f>
        <v>6.3</v>
      </c>
      <c r="R345" s="43">
        <v>33</v>
      </c>
      <c r="S345" s="32">
        <f t="shared" si="28"/>
        <v>6.4516129032258063E-2</v>
      </c>
      <c r="T345" s="54" t="e">
        <f>VLOOKUP(A345,[1]인포맥스!$A:$I,9,0)</f>
        <v>#N/A</v>
      </c>
      <c r="U345" s="70" t="e">
        <f t="shared" si="29"/>
        <v>#N/A</v>
      </c>
    </row>
    <row r="346" spans="1:21" x14ac:dyDescent="0.25">
      <c r="A346" s="3">
        <v>33908</v>
      </c>
      <c r="B346" s="29" t="e">
        <f>NA()</f>
        <v>#N/A</v>
      </c>
      <c r="C346" s="29" t="e">
        <v>#N/A</v>
      </c>
      <c r="D346" s="50">
        <f>50.3</f>
        <v>50.3</v>
      </c>
      <c r="E346" s="30">
        <v>50.3</v>
      </c>
      <c r="F346" s="29">
        <f>7.4</f>
        <v>7.4</v>
      </c>
      <c r="G346" s="31" t="e">
        <v>#N/A</v>
      </c>
      <c r="H346" s="51" t="e">
        <f t="shared" si="26"/>
        <v>#N/A</v>
      </c>
      <c r="I346" s="29">
        <f>2</f>
        <v>2</v>
      </c>
      <c r="J346" s="31">
        <v>59.88</v>
      </c>
      <c r="K346" s="51">
        <f t="shared" si="27"/>
        <v>2.0102214650766604E-2</v>
      </c>
      <c r="L346" s="29">
        <f>5.4</f>
        <v>5.4</v>
      </c>
      <c r="M346" s="30">
        <v>5.4</v>
      </c>
      <c r="N346" s="29">
        <f>19.9</f>
        <v>19.899999999999999</v>
      </c>
      <c r="O346" s="29">
        <v>204227.20000000001</v>
      </c>
      <c r="P346" s="51">
        <f t="shared" si="25"/>
        <v>0.1993751394777952</v>
      </c>
      <c r="Q346" s="29">
        <f>5.7</f>
        <v>5.7</v>
      </c>
      <c r="R346" s="43">
        <v>32.700000000000003</v>
      </c>
      <c r="S346" s="32">
        <f t="shared" si="28"/>
        <v>6.1688311688311757E-2</v>
      </c>
      <c r="T346" s="54" t="e">
        <f>VLOOKUP(A346,[1]인포맥스!$A:$I,9,0)</f>
        <v>#N/A</v>
      </c>
      <c r="U346" s="70" t="e">
        <f t="shared" si="29"/>
        <v>#N/A</v>
      </c>
    </row>
    <row r="347" spans="1:21" x14ac:dyDescent="0.25">
      <c r="A347" s="3">
        <v>33877</v>
      </c>
      <c r="B347" s="29" t="e">
        <f>NA()</f>
        <v>#N/A</v>
      </c>
      <c r="C347" s="29" t="e">
        <v>#N/A</v>
      </c>
      <c r="D347" s="50">
        <f>49.7</f>
        <v>49.7</v>
      </c>
      <c r="E347" s="30">
        <v>49.7</v>
      </c>
      <c r="F347" s="29">
        <f>16.6</f>
        <v>16.600000000000001</v>
      </c>
      <c r="G347" s="31" t="e">
        <v>#N/A</v>
      </c>
      <c r="H347" s="51" t="e">
        <f t="shared" si="26"/>
        <v>#N/A</v>
      </c>
      <c r="I347" s="29">
        <f>2.4</f>
        <v>2.4</v>
      </c>
      <c r="J347" s="31">
        <v>60.04</v>
      </c>
      <c r="K347" s="51">
        <f t="shared" si="27"/>
        <v>2.404912161009716E-2</v>
      </c>
      <c r="L347" s="29">
        <f>5.7</f>
        <v>5.7</v>
      </c>
      <c r="M347" s="30">
        <v>5.7</v>
      </c>
      <c r="N347" s="29">
        <f>19.3</f>
        <v>19.3</v>
      </c>
      <c r="O347" s="29">
        <v>198859.4</v>
      </c>
      <c r="P347" s="51">
        <f t="shared" si="25"/>
        <v>0.1931883774485155</v>
      </c>
      <c r="Q347" s="29">
        <f>5.8</f>
        <v>5.8</v>
      </c>
      <c r="R347" s="43">
        <v>32.5</v>
      </c>
      <c r="S347" s="32">
        <f t="shared" si="28"/>
        <v>6.2091503267973809E-2</v>
      </c>
      <c r="T347" s="54" t="e">
        <f>VLOOKUP(A347,[1]인포맥스!$A:$I,9,0)</f>
        <v>#N/A</v>
      </c>
      <c r="U347" s="70" t="e">
        <f t="shared" si="29"/>
        <v>#N/A</v>
      </c>
    </row>
    <row r="348" spans="1:21" x14ac:dyDescent="0.25">
      <c r="A348" s="3">
        <v>33847</v>
      </c>
      <c r="B348" s="29" t="e">
        <f>NA()</f>
        <v>#N/A</v>
      </c>
      <c r="C348" s="29" t="e">
        <v>#N/A</v>
      </c>
      <c r="D348" s="50">
        <f>53.4</f>
        <v>53.4</v>
      </c>
      <c r="E348" s="30">
        <v>53.4</v>
      </c>
      <c r="F348" s="29">
        <f>7.2</f>
        <v>7.2</v>
      </c>
      <c r="G348" s="31" t="e">
        <v>#N/A</v>
      </c>
      <c r="H348" s="51" t="e">
        <f t="shared" si="26"/>
        <v>#N/A</v>
      </c>
      <c r="I348" s="29">
        <f>2.9</f>
        <v>2.9</v>
      </c>
      <c r="J348" s="31">
        <v>60.28</v>
      </c>
      <c r="K348" s="51">
        <f t="shared" si="27"/>
        <v>2.9371584699453532E-2</v>
      </c>
      <c r="L348" s="29">
        <f>5.9</f>
        <v>5.9</v>
      </c>
      <c r="M348" s="30">
        <v>5.9</v>
      </c>
      <c r="N348" s="29">
        <f>21.4</f>
        <v>21.4</v>
      </c>
      <c r="O348" s="29">
        <v>196169.1</v>
      </c>
      <c r="P348" s="51">
        <f t="shared" si="25"/>
        <v>0.21380202629204897</v>
      </c>
      <c r="Q348" s="29">
        <f>5.9</f>
        <v>5.9</v>
      </c>
      <c r="R348" s="43">
        <v>32.4</v>
      </c>
      <c r="S348" s="32">
        <f t="shared" si="28"/>
        <v>6.2295081967213069E-2</v>
      </c>
      <c r="T348" s="54" t="e">
        <f>VLOOKUP(A348,[1]인포맥스!$A:$I,9,0)</f>
        <v>#N/A</v>
      </c>
      <c r="U348" s="70" t="e">
        <f t="shared" si="29"/>
        <v>#N/A</v>
      </c>
    </row>
    <row r="349" spans="1:21" x14ac:dyDescent="0.25">
      <c r="A349" s="3">
        <v>33816</v>
      </c>
      <c r="B349" s="29" t="e">
        <f>NA()</f>
        <v>#N/A</v>
      </c>
      <c r="C349" s="29" t="e">
        <v>#N/A</v>
      </c>
      <c r="D349" s="50">
        <f>53.9</f>
        <v>53.9</v>
      </c>
      <c r="E349" s="30">
        <v>53.9</v>
      </c>
      <c r="F349" s="29">
        <f>14.7</f>
        <v>14.7</v>
      </c>
      <c r="G349" s="31" t="e">
        <v>#N/A</v>
      </c>
      <c r="H349" s="51" t="e">
        <f t="shared" si="26"/>
        <v>#N/A</v>
      </c>
      <c r="I349" s="29">
        <f>3.5</f>
        <v>3.5</v>
      </c>
      <c r="J349" s="31">
        <v>60.28</v>
      </c>
      <c r="K349" s="51">
        <f t="shared" si="27"/>
        <v>3.5027472527472514E-2</v>
      </c>
      <c r="L349" s="29">
        <f>6.6</f>
        <v>6.6</v>
      </c>
      <c r="M349" s="30">
        <v>6.6</v>
      </c>
      <c r="N349" s="29">
        <f>20.2</f>
        <v>20.2</v>
      </c>
      <c r="O349" s="29">
        <v>193756.1</v>
      </c>
      <c r="P349" s="51">
        <f t="shared" si="25"/>
        <v>0.20231669048471551</v>
      </c>
      <c r="Q349" s="29">
        <f>6.4</f>
        <v>6.4</v>
      </c>
      <c r="R349" s="43">
        <v>32.4</v>
      </c>
      <c r="S349" s="32">
        <f t="shared" si="28"/>
        <v>6.5789473684210523E-2</v>
      </c>
      <c r="T349" s="54" t="e">
        <f>VLOOKUP(A349,[1]인포맥스!$A:$I,9,0)</f>
        <v>#N/A</v>
      </c>
      <c r="U349" s="70" t="e">
        <f t="shared" si="29"/>
        <v>#N/A</v>
      </c>
    </row>
    <row r="350" spans="1:21" x14ac:dyDescent="0.25">
      <c r="A350" s="3">
        <v>33785</v>
      </c>
      <c r="B350" s="29" t="e">
        <f>NA()</f>
        <v>#N/A</v>
      </c>
      <c r="C350" s="29" t="e">
        <v>#N/A</v>
      </c>
      <c r="D350" s="50">
        <f>53.6</f>
        <v>53.6</v>
      </c>
      <c r="E350" s="30">
        <v>53.6</v>
      </c>
      <c r="F350" s="29">
        <f>5.9</f>
        <v>5.9</v>
      </c>
      <c r="G350" s="31" t="e">
        <v>#N/A</v>
      </c>
      <c r="H350" s="51" t="e">
        <f t="shared" si="26"/>
        <v>#N/A</v>
      </c>
      <c r="I350" s="29">
        <f>2.7</f>
        <v>2.7</v>
      </c>
      <c r="J350" s="31">
        <v>59.88</v>
      </c>
      <c r="K350" s="51">
        <f t="shared" si="27"/>
        <v>2.6748971193415676E-2</v>
      </c>
      <c r="L350" s="29">
        <f>6.8</f>
        <v>6.8</v>
      </c>
      <c r="M350" s="30">
        <v>6.8</v>
      </c>
      <c r="N350" s="29">
        <f>20.2</f>
        <v>20.2</v>
      </c>
      <c r="O350" s="29">
        <v>190123</v>
      </c>
      <c r="P350" s="51">
        <f t="shared" si="25"/>
        <v>0.20237029916489327</v>
      </c>
      <c r="Q350" s="29">
        <f>6.3</f>
        <v>6.3</v>
      </c>
      <c r="R350" s="43">
        <v>32.200000000000003</v>
      </c>
      <c r="S350" s="32">
        <f t="shared" si="28"/>
        <v>6.9767441860465157E-2</v>
      </c>
      <c r="T350" s="54" t="e">
        <f>VLOOKUP(A350,[1]인포맥스!$A:$I,9,0)</f>
        <v>#N/A</v>
      </c>
      <c r="U350" s="70" t="e">
        <f t="shared" si="29"/>
        <v>#N/A</v>
      </c>
    </row>
    <row r="351" spans="1:21" x14ac:dyDescent="0.25">
      <c r="A351" s="3">
        <v>33755</v>
      </c>
      <c r="B351" s="29" t="e">
        <f>NA()</f>
        <v>#N/A</v>
      </c>
      <c r="C351" s="29" t="e">
        <v>#N/A</v>
      </c>
      <c r="D351" s="50">
        <f>55.7</f>
        <v>55.7</v>
      </c>
      <c r="E351" s="30">
        <v>55.7</v>
      </c>
      <c r="F351" s="29">
        <f>3.1</f>
        <v>3.1</v>
      </c>
      <c r="G351" s="31" t="e">
        <v>#N/A</v>
      </c>
      <c r="H351" s="51" t="e">
        <f t="shared" si="26"/>
        <v>#N/A</v>
      </c>
      <c r="I351" s="29">
        <f>2.3</f>
        <v>2.2999999999999998</v>
      </c>
      <c r="J351" s="31">
        <v>59.65</v>
      </c>
      <c r="K351" s="51">
        <f t="shared" si="27"/>
        <v>2.2805212620027406E-2</v>
      </c>
      <c r="L351" s="29">
        <f>7.3</f>
        <v>7.3</v>
      </c>
      <c r="M351" s="30">
        <v>7.3</v>
      </c>
      <c r="N351" s="29">
        <f>20.7</f>
        <v>20.7</v>
      </c>
      <c r="O351" s="29">
        <v>189145.8</v>
      </c>
      <c r="P351" s="51">
        <f t="shared" si="25"/>
        <v>0.20710378642691257</v>
      </c>
      <c r="Q351" s="29">
        <f>6.5</f>
        <v>6.5</v>
      </c>
      <c r="R351" s="43">
        <v>32</v>
      </c>
      <c r="S351" s="32">
        <f t="shared" si="28"/>
        <v>7.0234113712374632E-2</v>
      </c>
      <c r="T351" s="54" t="e">
        <f>VLOOKUP(A351,[1]인포맥스!$A:$I,9,0)</f>
        <v>#N/A</v>
      </c>
      <c r="U351" s="70" t="e">
        <f t="shared" si="29"/>
        <v>#N/A</v>
      </c>
    </row>
    <row r="352" spans="1:21" x14ac:dyDescent="0.25">
      <c r="A352" s="3">
        <v>33724</v>
      </c>
      <c r="B352" s="29" t="e">
        <f>NA()</f>
        <v>#N/A</v>
      </c>
      <c r="C352" s="29" t="e">
        <v>#N/A</v>
      </c>
      <c r="D352" s="50">
        <f>52.6</f>
        <v>52.6</v>
      </c>
      <c r="E352" s="30">
        <v>52.6</v>
      </c>
      <c r="F352" s="29">
        <f>8.9</f>
        <v>8.9</v>
      </c>
      <c r="G352" s="31" t="e">
        <v>#N/A</v>
      </c>
      <c r="H352" s="51" t="e">
        <f t="shared" si="26"/>
        <v>#N/A</v>
      </c>
      <c r="I352" s="29">
        <f>1.9</f>
        <v>1.9</v>
      </c>
      <c r="J352" s="31">
        <v>59.49</v>
      </c>
      <c r="K352" s="51">
        <f t="shared" si="27"/>
        <v>1.8664383561643894E-2</v>
      </c>
      <c r="L352" s="29">
        <f>6.9</f>
        <v>6.9</v>
      </c>
      <c r="M352" s="30">
        <v>6.9</v>
      </c>
      <c r="N352" s="29">
        <f>20.7</f>
        <v>20.7</v>
      </c>
      <c r="O352" s="29">
        <v>186533.2</v>
      </c>
      <c r="P352" s="51">
        <f t="shared" si="25"/>
        <v>0.20729946376966374</v>
      </c>
      <c r="Q352" s="29">
        <f>6.3</f>
        <v>6.3</v>
      </c>
      <c r="R352" s="43">
        <v>31.8</v>
      </c>
      <c r="S352" s="32">
        <f t="shared" si="28"/>
        <v>7.070707070707076E-2</v>
      </c>
      <c r="T352" s="54" t="e">
        <f>VLOOKUP(A352,[1]인포맥스!$A:$I,9,0)</f>
        <v>#N/A</v>
      </c>
      <c r="U352" s="70" t="e">
        <f t="shared" si="29"/>
        <v>#N/A</v>
      </c>
    </row>
    <row r="353" spans="1:21" x14ac:dyDescent="0.25">
      <c r="A353" s="3">
        <v>33694</v>
      </c>
      <c r="B353" s="29" t="e">
        <f>NA()</f>
        <v>#N/A</v>
      </c>
      <c r="C353" s="29" t="e">
        <v>#N/A</v>
      </c>
      <c r="D353" s="50">
        <f>54.6</f>
        <v>54.6</v>
      </c>
      <c r="E353" s="30">
        <v>54.6</v>
      </c>
      <c r="F353" s="29">
        <f>12.3</f>
        <v>12.3</v>
      </c>
      <c r="G353" s="31" t="e">
        <v>#N/A</v>
      </c>
      <c r="H353" s="51" t="e">
        <f t="shared" si="26"/>
        <v>#N/A</v>
      </c>
      <c r="I353" s="29">
        <f>1.7</f>
        <v>1.7</v>
      </c>
      <c r="J353" s="31">
        <v>59.42</v>
      </c>
      <c r="K353" s="51">
        <f t="shared" si="27"/>
        <v>1.7465753424657587E-2</v>
      </c>
      <c r="L353" s="29">
        <f>6.8</f>
        <v>6.8</v>
      </c>
      <c r="M353" s="30">
        <v>6.8</v>
      </c>
      <c r="N353" s="29">
        <f>19.5</f>
        <v>19.5</v>
      </c>
      <c r="O353" s="29">
        <v>183523.9</v>
      </c>
      <c r="P353" s="51">
        <f t="shared" si="25"/>
        <v>0.1954490264384558</v>
      </c>
      <c r="Q353" s="29">
        <f>6.5</f>
        <v>6.5</v>
      </c>
      <c r="R353" s="43">
        <v>31.6</v>
      </c>
      <c r="S353" s="32">
        <f t="shared" si="28"/>
        <v>7.1186440677966145E-2</v>
      </c>
      <c r="T353" s="54" t="e">
        <f>VLOOKUP(A353,[1]인포맥스!$A:$I,9,0)</f>
        <v>#N/A</v>
      </c>
      <c r="U353" s="70" t="e">
        <f t="shared" si="29"/>
        <v>#N/A</v>
      </c>
    </row>
    <row r="354" spans="1:21" x14ac:dyDescent="0.25">
      <c r="A354" s="3">
        <v>33663</v>
      </c>
      <c r="B354" s="29" t="e">
        <f>NA()</f>
        <v>#N/A</v>
      </c>
      <c r="C354" s="29" t="e">
        <v>#N/A</v>
      </c>
      <c r="D354" s="50">
        <f>52.7</f>
        <v>52.7</v>
      </c>
      <c r="E354" s="30">
        <v>52.7</v>
      </c>
      <c r="F354" s="29">
        <f>5.7</f>
        <v>5.7</v>
      </c>
      <c r="G354" s="31" t="e">
        <v>#N/A</v>
      </c>
      <c r="H354" s="51" t="e">
        <f t="shared" si="26"/>
        <v>#N/A</v>
      </c>
      <c r="I354" s="29">
        <f>1.5</f>
        <v>1.5</v>
      </c>
      <c r="J354" s="31">
        <v>59.18</v>
      </c>
      <c r="K354" s="51">
        <f t="shared" si="27"/>
        <v>1.4746227709190662E-2</v>
      </c>
      <c r="L354" s="29">
        <f>7</f>
        <v>7</v>
      </c>
      <c r="M354" s="30">
        <v>7</v>
      </c>
      <c r="N354" s="29">
        <f>19.7</f>
        <v>19.7</v>
      </c>
      <c r="O354" s="29">
        <v>180826.9</v>
      </c>
      <c r="P354" s="51">
        <f t="shared" si="25"/>
        <v>0.19745618147768468</v>
      </c>
      <c r="Q354" s="29">
        <f>6.3</f>
        <v>6.3</v>
      </c>
      <c r="R354" s="43">
        <v>31.4</v>
      </c>
      <c r="S354" s="32">
        <f t="shared" si="28"/>
        <v>6.8027210884353748E-2</v>
      </c>
      <c r="T354" s="54" t="e">
        <f>VLOOKUP(A354,[1]인포맥스!$A:$I,9,0)</f>
        <v>#N/A</v>
      </c>
      <c r="U354" s="70" t="e">
        <f t="shared" si="29"/>
        <v>#N/A</v>
      </c>
    </row>
    <row r="355" spans="1:21" x14ac:dyDescent="0.25">
      <c r="A355" s="3">
        <v>33634</v>
      </c>
      <c r="B355" s="29" t="e">
        <f>NA()</f>
        <v>#N/A</v>
      </c>
      <c r="C355" s="29" t="e">
        <v>#N/A</v>
      </c>
      <c r="D355" s="50">
        <f>47.3</f>
        <v>47.3</v>
      </c>
      <c r="E355" s="30">
        <v>47.3</v>
      </c>
      <c r="F355" s="29">
        <f>16.2</f>
        <v>16.2</v>
      </c>
      <c r="G355" s="31" t="e">
        <v>#N/A</v>
      </c>
      <c r="H355" s="51" t="e">
        <f t="shared" si="26"/>
        <v>#N/A</v>
      </c>
      <c r="I355" s="29">
        <f>1.7</f>
        <v>1.7</v>
      </c>
      <c r="J355" s="31">
        <v>59.1</v>
      </c>
      <c r="K355" s="51">
        <f t="shared" si="27"/>
        <v>1.7386813565157477E-2</v>
      </c>
      <c r="L355" s="29">
        <f>7.7</f>
        <v>7.7</v>
      </c>
      <c r="M355" s="30">
        <v>7.7</v>
      </c>
      <c r="N355" s="29">
        <f>20.1</f>
        <v>20.100000000000001</v>
      </c>
      <c r="O355" s="29">
        <v>178532.2</v>
      </c>
      <c r="P355" s="51">
        <f t="shared" si="25"/>
        <v>0.20128167430481217</v>
      </c>
      <c r="Q355" s="29">
        <f>6.4</f>
        <v>6.4</v>
      </c>
      <c r="R355" s="43">
        <v>31.2</v>
      </c>
      <c r="S355" s="32">
        <f t="shared" si="28"/>
        <v>6.8493150684931503E-2</v>
      </c>
      <c r="T355" s="54" t="e">
        <f>VLOOKUP(A355,[1]인포맥스!$A:$I,9,0)</f>
        <v>#N/A</v>
      </c>
      <c r="U355" s="70" t="e">
        <f t="shared" si="29"/>
        <v>#N/A</v>
      </c>
    </row>
    <row r="356" spans="1:21" x14ac:dyDescent="0.25">
      <c r="A356" s="3">
        <v>33603</v>
      </c>
      <c r="B356" s="29" t="e">
        <f>NA()</f>
        <v>#N/A</v>
      </c>
      <c r="C356" s="29" t="e">
        <v>#N/A</v>
      </c>
      <c r="D356" s="50">
        <f>46.8</f>
        <v>46.8</v>
      </c>
      <c r="E356" s="30">
        <v>46.8</v>
      </c>
      <c r="F356" s="29">
        <f>9.6</f>
        <v>9.6</v>
      </c>
      <c r="G356" s="31" t="e">
        <v>#N/A</v>
      </c>
      <c r="H356" s="51" t="e">
        <f t="shared" si="26"/>
        <v>#N/A</v>
      </c>
      <c r="I356" s="29">
        <f>1.9</f>
        <v>1.9</v>
      </c>
      <c r="J356" s="31">
        <v>58.87</v>
      </c>
      <c r="K356" s="51">
        <f t="shared" si="27"/>
        <v>1.9041024753332081E-2</v>
      </c>
      <c r="L356" s="29">
        <f>9.3</f>
        <v>9.3000000000000007</v>
      </c>
      <c r="M356" s="30">
        <v>9.3000000000000007</v>
      </c>
      <c r="N356" s="29">
        <f>18.9</f>
        <v>18.899999999999999</v>
      </c>
      <c r="O356" s="29">
        <v>174698.8</v>
      </c>
      <c r="P356" s="51">
        <f t="shared" si="25"/>
        <v>0.18862288893817894</v>
      </c>
      <c r="Q356" s="29">
        <f>6.8</f>
        <v>6.8</v>
      </c>
      <c r="R356" s="43">
        <v>31.1</v>
      </c>
      <c r="S356" s="32">
        <f t="shared" si="28"/>
        <v>6.8728522336769751E-2</v>
      </c>
      <c r="T356" s="54" t="e">
        <f>VLOOKUP(A356,[1]인포맥스!$A:$I,9,0)</f>
        <v>#N/A</v>
      </c>
      <c r="U356" s="70" t="e">
        <f t="shared" si="29"/>
        <v>#N/A</v>
      </c>
    </row>
    <row r="357" spans="1:21" x14ac:dyDescent="0.25">
      <c r="A357" s="3">
        <v>33572</v>
      </c>
      <c r="B357" s="29" t="e">
        <f>NA()</f>
        <v>#N/A</v>
      </c>
      <c r="C357" s="29" t="e">
        <v>#N/A</v>
      </c>
      <c r="D357" s="50">
        <f>49.5</f>
        <v>49.5</v>
      </c>
      <c r="E357" s="30">
        <v>49.5</v>
      </c>
      <c r="F357" s="29">
        <f>10.9</f>
        <v>10.9</v>
      </c>
      <c r="G357" s="31" t="e">
        <v>#N/A</v>
      </c>
      <c r="H357" s="51" t="e">
        <f t="shared" si="26"/>
        <v>#N/A</v>
      </c>
      <c r="I357" s="29">
        <f>2.7</f>
        <v>2.7</v>
      </c>
      <c r="J357" s="31">
        <v>58.7</v>
      </c>
      <c r="K357" s="51">
        <f t="shared" si="27"/>
        <v>2.7301365068253453E-2</v>
      </c>
      <c r="L357" s="29">
        <f>9.7</f>
        <v>9.6999999999999993</v>
      </c>
      <c r="M357" s="30">
        <v>9.6999999999999993</v>
      </c>
      <c r="N357" s="29">
        <f>22.1</f>
        <v>22.1</v>
      </c>
      <c r="O357" s="29">
        <v>172453</v>
      </c>
      <c r="P357" s="51">
        <f t="shared" si="25"/>
        <v>0.22111367595202017</v>
      </c>
      <c r="Q357" s="29">
        <f>7</f>
        <v>7</v>
      </c>
      <c r="R357" s="43">
        <v>31</v>
      </c>
      <c r="S357" s="32">
        <f t="shared" si="28"/>
        <v>7.2664359861591754E-2</v>
      </c>
      <c r="T357" s="54" t="e">
        <f>VLOOKUP(A357,[1]인포맥스!$A:$I,9,0)</f>
        <v>#N/A</v>
      </c>
      <c r="U357" s="70" t="e">
        <f t="shared" si="29"/>
        <v>#N/A</v>
      </c>
    </row>
    <row r="358" spans="1:21" x14ac:dyDescent="0.25">
      <c r="A358" s="3">
        <v>33542</v>
      </c>
      <c r="B358" s="29" t="e">
        <f>NA()</f>
        <v>#N/A</v>
      </c>
      <c r="C358" s="29" t="e">
        <v>#N/A</v>
      </c>
      <c r="D358" s="50">
        <f>53.1</f>
        <v>53.1</v>
      </c>
      <c r="E358" s="30">
        <v>53.1</v>
      </c>
      <c r="F358" s="29">
        <f>25.6</f>
        <v>25.6</v>
      </c>
      <c r="G358" s="31" t="e">
        <v>#N/A</v>
      </c>
      <c r="H358" s="51" t="e">
        <f t="shared" si="26"/>
        <v>#N/A</v>
      </c>
      <c r="I358" s="29">
        <f>2.9</f>
        <v>2.9</v>
      </c>
      <c r="J358" s="31">
        <v>58.7</v>
      </c>
      <c r="K358" s="51">
        <f t="shared" si="27"/>
        <v>2.8741675429372598E-2</v>
      </c>
      <c r="L358" s="29">
        <f>9.3</f>
        <v>9.3000000000000007</v>
      </c>
      <c r="M358" s="30">
        <v>9.3000000000000007</v>
      </c>
      <c r="N358" s="29">
        <f>22.7</f>
        <v>22.7</v>
      </c>
      <c r="O358" s="29">
        <v>170278</v>
      </c>
      <c r="P358" s="51">
        <f t="shared" si="25"/>
        <v>0.22693790085089738</v>
      </c>
      <c r="Q358" s="29">
        <f>7.4</f>
        <v>7.4</v>
      </c>
      <c r="R358" s="43">
        <v>30.8</v>
      </c>
      <c r="S358" s="32">
        <f t="shared" si="28"/>
        <v>7.3170731707317124E-2</v>
      </c>
      <c r="T358" s="54" t="e">
        <f>VLOOKUP(A358,[1]인포맥스!$A:$I,9,0)</f>
        <v>#N/A</v>
      </c>
      <c r="U358" s="70" t="e">
        <f t="shared" si="29"/>
        <v>#N/A</v>
      </c>
    </row>
    <row r="359" spans="1:21" x14ac:dyDescent="0.25">
      <c r="A359" s="3">
        <v>33511</v>
      </c>
      <c r="B359" s="29" t="e">
        <f>NA()</f>
        <v>#N/A</v>
      </c>
      <c r="C359" s="29" t="e">
        <v>#N/A</v>
      </c>
      <c r="D359" s="50">
        <f>54.9</f>
        <v>54.9</v>
      </c>
      <c r="E359" s="30">
        <v>54.9</v>
      </c>
      <c r="F359" s="29">
        <f>-7.1</f>
        <v>-7.1</v>
      </c>
      <c r="G359" s="31" t="e">
        <v>#N/A</v>
      </c>
      <c r="H359" s="51" t="e">
        <f t="shared" si="26"/>
        <v>#N/A</v>
      </c>
      <c r="I359" s="29">
        <f>3.7</f>
        <v>3.7</v>
      </c>
      <c r="J359" s="31">
        <v>58.63</v>
      </c>
      <c r="K359" s="51">
        <f t="shared" si="27"/>
        <v>3.7331917905166302E-2</v>
      </c>
      <c r="L359" s="29">
        <f>9.4</f>
        <v>9.4</v>
      </c>
      <c r="M359" s="30">
        <v>9.4</v>
      </c>
      <c r="N359" s="29">
        <f>21.8</f>
        <v>21.8</v>
      </c>
      <c r="O359" s="29">
        <v>166662.20000000001</v>
      </c>
      <c r="P359" s="51">
        <f t="shared" si="25"/>
        <v>0.21819565282540032</v>
      </c>
      <c r="Q359" s="29">
        <f>7.5</f>
        <v>7.5</v>
      </c>
      <c r="R359" s="43">
        <v>30.6</v>
      </c>
      <c r="S359" s="32">
        <f t="shared" si="28"/>
        <v>7.7464788732394471E-2</v>
      </c>
      <c r="T359" s="54" t="e">
        <f>VLOOKUP(A359,[1]인포맥스!$A:$I,9,0)</f>
        <v>#N/A</v>
      </c>
      <c r="U359" s="70" t="e">
        <f t="shared" si="29"/>
        <v>#N/A</v>
      </c>
    </row>
    <row r="360" spans="1:21" x14ac:dyDescent="0.25">
      <c r="A360" s="3">
        <v>33481</v>
      </c>
      <c r="B360" s="29" t="e">
        <f>NA()</f>
        <v>#N/A</v>
      </c>
      <c r="C360" s="29" t="e">
        <v>#N/A</v>
      </c>
      <c r="D360" s="50">
        <f>52.9</f>
        <v>52.9</v>
      </c>
      <c r="E360" s="30">
        <v>52.9</v>
      </c>
      <c r="F360" s="29">
        <f>8.3</f>
        <v>8.3000000000000007</v>
      </c>
      <c r="G360" s="31" t="e">
        <v>#N/A</v>
      </c>
      <c r="H360" s="51" t="e">
        <f t="shared" si="26"/>
        <v>#N/A</v>
      </c>
      <c r="I360" s="29">
        <f>4.9</f>
        <v>4.9000000000000004</v>
      </c>
      <c r="J360" s="31">
        <v>58.56</v>
      </c>
      <c r="K360" s="51">
        <f t="shared" si="27"/>
        <v>4.927432359792152E-2</v>
      </c>
      <c r="L360" s="29">
        <f>9.5</f>
        <v>9.5</v>
      </c>
      <c r="M360" s="30">
        <v>9.5</v>
      </c>
      <c r="N360" s="29">
        <f>24.8</f>
        <v>24.8</v>
      </c>
      <c r="O360" s="29">
        <v>161615.4</v>
      </c>
      <c r="P360" s="51">
        <f t="shared" si="25"/>
        <v>0.24820259734241587</v>
      </c>
      <c r="Q360" s="29">
        <f>7.8</f>
        <v>7.8</v>
      </c>
      <c r="R360" s="43">
        <v>30.5</v>
      </c>
      <c r="S360" s="32">
        <f t="shared" si="28"/>
        <v>8.5409252669039093E-2</v>
      </c>
      <c r="T360" s="54" t="e">
        <f>VLOOKUP(A360,[1]인포맥스!$A:$I,9,0)</f>
        <v>#N/A</v>
      </c>
      <c r="U360" s="70" t="e">
        <f t="shared" si="29"/>
        <v>#N/A</v>
      </c>
    </row>
    <row r="361" spans="1:21" x14ac:dyDescent="0.25">
      <c r="A361" s="3">
        <v>33450</v>
      </c>
      <c r="B361" s="29" t="e">
        <f>NA()</f>
        <v>#N/A</v>
      </c>
      <c r="C361" s="29" t="e">
        <v>#N/A</v>
      </c>
      <c r="D361" s="50">
        <f>50.6</f>
        <v>50.6</v>
      </c>
      <c r="E361" s="30">
        <v>50.6</v>
      </c>
      <c r="F361" s="29">
        <f>0.9</f>
        <v>0.9</v>
      </c>
      <c r="G361" s="31" t="e">
        <v>#N/A</v>
      </c>
      <c r="H361" s="51" t="e">
        <f t="shared" si="26"/>
        <v>#N/A</v>
      </c>
      <c r="I361" s="29">
        <f>4.8</f>
        <v>4.8</v>
      </c>
      <c r="J361" s="31">
        <v>58.24</v>
      </c>
      <c r="K361" s="51">
        <f t="shared" si="27"/>
        <v>4.804750764801155E-2</v>
      </c>
      <c r="L361" s="29">
        <f>9</f>
        <v>9</v>
      </c>
      <c r="M361" s="30">
        <v>9</v>
      </c>
      <c r="N361" s="29">
        <f>23.5</f>
        <v>23.5</v>
      </c>
      <c r="O361" s="29">
        <v>161152.29999999999</v>
      </c>
      <c r="P361" s="51">
        <f t="shared" si="25"/>
        <v>0.23490623582349393</v>
      </c>
      <c r="Q361" s="29">
        <f>8.1</f>
        <v>8.1</v>
      </c>
      <c r="R361" s="43">
        <v>30.4</v>
      </c>
      <c r="S361" s="32">
        <f t="shared" si="28"/>
        <v>9.3525179856115026E-2</v>
      </c>
      <c r="T361" s="54" t="e">
        <f>VLOOKUP(A361,[1]인포맥스!$A:$I,9,0)</f>
        <v>#N/A</v>
      </c>
      <c r="U361" s="70" t="e">
        <f t="shared" si="29"/>
        <v>#N/A</v>
      </c>
    </row>
    <row r="362" spans="1:21" x14ac:dyDescent="0.25">
      <c r="A362" s="3">
        <v>33419</v>
      </c>
      <c r="B362" s="29" t="e">
        <f>NA()</f>
        <v>#N/A</v>
      </c>
      <c r="C362" s="29" t="e">
        <v>#N/A</v>
      </c>
      <c r="D362" s="50">
        <f>50.3</f>
        <v>50.3</v>
      </c>
      <c r="E362" s="30">
        <v>50.3</v>
      </c>
      <c r="F362" s="29">
        <f>17.1</f>
        <v>17.100000000000001</v>
      </c>
      <c r="G362" s="31" t="e">
        <v>#N/A</v>
      </c>
      <c r="H362" s="51" t="e">
        <f t="shared" si="26"/>
        <v>#N/A</v>
      </c>
      <c r="I362" s="29">
        <f>4.8</f>
        <v>4.8</v>
      </c>
      <c r="J362" s="31">
        <v>58.32</v>
      </c>
      <c r="K362" s="51">
        <f t="shared" si="27"/>
        <v>4.7978436657681971E-2</v>
      </c>
      <c r="L362" s="29">
        <f>8.7</f>
        <v>8.6999999999999993</v>
      </c>
      <c r="M362" s="30">
        <v>8.6999999999999993</v>
      </c>
      <c r="N362" s="29">
        <f>22.4</f>
        <v>22.4</v>
      </c>
      <c r="O362" s="29">
        <v>158123.5</v>
      </c>
      <c r="P362" s="51">
        <f t="shared" si="25"/>
        <v>0.22405463380195551</v>
      </c>
      <c r="Q362" s="29">
        <f>8.1</f>
        <v>8.1</v>
      </c>
      <c r="R362" s="43">
        <v>30.1</v>
      </c>
      <c r="S362" s="32">
        <f t="shared" si="28"/>
        <v>9.0579710144927536E-2</v>
      </c>
      <c r="T362" s="54" t="e">
        <f>VLOOKUP(A362,[1]인포맥스!$A:$I,9,0)</f>
        <v>#N/A</v>
      </c>
      <c r="U362" s="70" t="e">
        <f t="shared" si="29"/>
        <v>#N/A</v>
      </c>
    </row>
    <row r="363" spans="1:21" x14ac:dyDescent="0.25">
      <c r="A363" s="3">
        <v>33389</v>
      </c>
      <c r="B363" s="29" t="e">
        <f>NA()</f>
        <v>#N/A</v>
      </c>
      <c r="C363" s="29" t="e">
        <v>#N/A</v>
      </c>
      <c r="D363" s="50">
        <f>44.5</f>
        <v>44.5</v>
      </c>
      <c r="E363" s="30">
        <v>44.5</v>
      </c>
      <c r="F363" s="29">
        <f>17.9</f>
        <v>17.899999999999999</v>
      </c>
      <c r="G363" s="31" t="e">
        <v>#N/A</v>
      </c>
      <c r="H363" s="51" t="e">
        <f t="shared" si="26"/>
        <v>#N/A</v>
      </c>
      <c r="I363" s="29">
        <f>5.1</f>
        <v>5.0999999999999996</v>
      </c>
      <c r="J363" s="31">
        <v>58.32</v>
      </c>
      <c r="K363" s="51">
        <f t="shared" si="27"/>
        <v>5.1000180212650896E-2</v>
      </c>
      <c r="L363" s="29">
        <f>8.5</f>
        <v>8.5</v>
      </c>
      <c r="M363" s="30">
        <v>8.5</v>
      </c>
      <c r="N363" s="29">
        <f>23.1</f>
        <v>23.1</v>
      </c>
      <c r="O363" s="29">
        <v>156693.9</v>
      </c>
      <c r="P363" s="51">
        <f t="shared" si="25"/>
        <v>0.23103604318457144</v>
      </c>
      <c r="Q363" s="29">
        <f>8.2</f>
        <v>8.1999999999999993</v>
      </c>
      <c r="R363" s="43">
        <v>29.9</v>
      </c>
      <c r="S363" s="32">
        <f t="shared" si="28"/>
        <v>9.1240875912408759E-2</v>
      </c>
      <c r="T363" s="54" t="e">
        <f>VLOOKUP(A363,[1]인포맥스!$A:$I,9,0)</f>
        <v>#N/A</v>
      </c>
      <c r="U363" s="70" t="e">
        <f t="shared" si="29"/>
        <v>#N/A</v>
      </c>
    </row>
    <row r="364" spans="1:21" x14ac:dyDescent="0.25">
      <c r="A364" s="3">
        <v>33358</v>
      </c>
      <c r="B364" s="29" t="e">
        <f>NA()</f>
        <v>#N/A</v>
      </c>
      <c r="C364" s="29" t="e">
        <v>#N/A</v>
      </c>
      <c r="D364" s="50">
        <f>42.8</f>
        <v>42.8</v>
      </c>
      <c r="E364" s="30">
        <v>42.8</v>
      </c>
      <c r="F364" s="29">
        <f>18</f>
        <v>18</v>
      </c>
      <c r="G364" s="31" t="e">
        <v>#N/A</v>
      </c>
      <c r="H364" s="51" t="e">
        <f t="shared" si="26"/>
        <v>#N/A</v>
      </c>
      <c r="I364" s="29">
        <f>6</f>
        <v>6</v>
      </c>
      <c r="J364" s="31">
        <v>58.4</v>
      </c>
      <c r="K364" s="51">
        <f t="shared" si="27"/>
        <v>5.9698784249682439E-2</v>
      </c>
      <c r="L364" s="29">
        <f>9.4</f>
        <v>9.4</v>
      </c>
      <c r="M364" s="30">
        <v>9.4</v>
      </c>
      <c r="N364" s="29">
        <f>23.3</f>
        <v>23.3</v>
      </c>
      <c r="O364" s="29">
        <v>154504.5</v>
      </c>
      <c r="P364" s="51">
        <f t="shared" si="25"/>
        <v>0.23269785421079717</v>
      </c>
      <c r="Q364" s="29">
        <f>8.3</f>
        <v>8.3000000000000007</v>
      </c>
      <c r="R364" s="43">
        <v>29.7</v>
      </c>
      <c r="S364" s="32">
        <f t="shared" si="28"/>
        <v>9.1911764705882359E-2</v>
      </c>
      <c r="T364" s="54" t="e">
        <f>VLOOKUP(A364,[1]인포맥스!$A:$I,9,0)</f>
        <v>#N/A</v>
      </c>
      <c r="U364" s="70" t="e">
        <f t="shared" si="29"/>
        <v>#N/A</v>
      </c>
    </row>
    <row r="365" spans="1:21" x14ac:dyDescent="0.25">
      <c r="A365" s="3">
        <v>33328</v>
      </c>
      <c r="B365" s="29" t="e">
        <f>NA()</f>
        <v>#N/A</v>
      </c>
      <c r="C365" s="29" t="e">
        <v>#N/A</v>
      </c>
      <c r="D365" s="50">
        <f>40.7</f>
        <v>40.700000000000003</v>
      </c>
      <c r="E365" s="30">
        <v>40.700000000000003</v>
      </c>
      <c r="F365" s="29">
        <f>8.6</f>
        <v>8.6</v>
      </c>
      <c r="G365" s="31" t="e">
        <v>#N/A</v>
      </c>
      <c r="H365" s="51" t="e">
        <f t="shared" si="26"/>
        <v>#N/A</v>
      </c>
      <c r="I365" s="29">
        <f>6.6</f>
        <v>6.6</v>
      </c>
      <c r="J365" s="31">
        <v>58.4</v>
      </c>
      <c r="K365" s="51">
        <f t="shared" si="27"/>
        <v>6.5887935754699756E-2</v>
      </c>
      <c r="L365" s="29">
        <f>10.1</f>
        <v>10.1</v>
      </c>
      <c r="M365" s="30">
        <v>10.1</v>
      </c>
      <c r="N365" s="29">
        <f>25.9</f>
        <v>25.9</v>
      </c>
      <c r="O365" s="29">
        <v>153518.79999999999</v>
      </c>
      <c r="P365" s="51">
        <f t="shared" si="25"/>
        <v>0.2472442121956609</v>
      </c>
      <c r="Q365" s="29">
        <f>8.6</f>
        <v>8.6</v>
      </c>
      <c r="R365" s="43">
        <v>29.5</v>
      </c>
      <c r="S365" s="32">
        <f t="shared" si="28"/>
        <v>8.8560885608856027E-2</v>
      </c>
      <c r="T365" s="54" t="e">
        <f>VLOOKUP(A365,[1]인포맥스!$A:$I,9,0)</f>
        <v>#N/A</v>
      </c>
      <c r="U365" s="70" t="e">
        <f t="shared" si="29"/>
        <v>#N/A</v>
      </c>
    </row>
    <row r="366" spans="1:21" x14ac:dyDescent="0.25">
      <c r="A366" s="3">
        <v>33297</v>
      </c>
      <c r="B366" s="29" t="e">
        <f>NA()</f>
        <v>#N/A</v>
      </c>
      <c r="C366" s="29" t="e">
        <v>#N/A</v>
      </c>
      <c r="D366" s="50">
        <f>39.4</f>
        <v>39.4</v>
      </c>
      <c r="E366" s="30">
        <v>39.4</v>
      </c>
      <c r="F366" s="29">
        <f>4</f>
        <v>4</v>
      </c>
      <c r="G366" s="31" t="e">
        <v>#N/A</v>
      </c>
      <c r="H366" s="51" t="e">
        <f t="shared" si="26"/>
        <v>#N/A</v>
      </c>
      <c r="I366" s="29">
        <f>6.9</f>
        <v>6.9</v>
      </c>
      <c r="J366" s="31">
        <v>58.32</v>
      </c>
      <c r="K366" s="51">
        <f t="shared" si="27"/>
        <v>6.9110907424381363E-2</v>
      </c>
      <c r="L366" s="29">
        <f>9.9</f>
        <v>9.9</v>
      </c>
      <c r="M366" s="30">
        <v>9.9</v>
      </c>
      <c r="N366" s="29">
        <f>25.9</f>
        <v>25.9</v>
      </c>
      <c r="O366" s="29">
        <v>151009.20000000001</v>
      </c>
      <c r="P366" s="51">
        <f t="shared" si="25"/>
        <v>0.25912875266297852</v>
      </c>
      <c r="Q366" s="29">
        <f>8.8</f>
        <v>8.8000000000000007</v>
      </c>
      <c r="R366" s="43">
        <v>29.4</v>
      </c>
      <c r="S366" s="32">
        <f t="shared" si="28"/>
        <v>9.2936802973977703E-2</v>
      </c>
      <c r="T366" s="54" t="e">
        <f>VLOOKUP(A366,[1]인포맥스!$A:$I,9,0)</f>
        <v>#N/A</v>
      </c>
      <c r="U366" s="70" t="e">
        <f t="shared" si="29"/>
        <v>#N/A</v>
      </c>
    </row>
    <row r="367" spans="1:21" x14ac:dyDescent="0.25">
      <c r="A367" s="3">
        <v>33269</v>
      </c>
      <c r="B367" s="29" t="e">
        <f>NA()</f>
        <v>#N/A</v>
      </c>
      <c r="C367" s="29" t="e">
        <v>#N/A</v>
      </c>
      <c r="D367" s="50">
        <f>39.2</f>
        <v>39.200000000000003</v>
      </c>
      <c r="E367" s="30">
        <v>39.200000000000003</v>
      </c>
      <c r="F367" s="29">
        <f>17.1</f>
        <v>17.100000000000001</v>
      </c>
      <c r="G367" s="31" t="e">
        <v>#N/A</v>
      </c>
      <c r="H367" s="51" t="e">
        <f t="shared" si="26"/>
        <v>#N/A</v>
      </c>
      <c r="I367" s="29">
        <f>6.6</f>
        <v>6.6</v>
      </c>
      <c r="J367" s="31">
        <v>58.09</v>
      </c>
      <c r="K367" s="51">
        <f t="shared" si="27"/>
        <v>6.6262848751835662E-2</v>
      </c>
      <c r="L367" s="29">
        <f>9.2</f>
        <v>9.1999999999999993</v>
      </c>
      <c r="M367" s="30">
        <v>9.1999999999999993</v>
      </c>
      <c r="N367" s="29">
        <f>25.3</f>
        <v>25.3</v>
      </c>
      <c r="O367" s="29">
        <v>148618.1</v>
      </c>
      <c r="P367" s="51">
        <f t="shared" si="25"/>
        <v>0.25314597456912546</v>
      </c>
      <c r="Q367" s="29">
        <f>9.1</f>
        <v>9.1</v>
      </c>
      <c r="R367" s="43">
        <v>29.2</v>
      </c>
      <c r="S367" s="32">
        <f t="shared" si="28"/>
        <v>9.3632958801498134E-2</v>
      </c>
      <c r="T367" s="54" t="e">
        <f>VLOOKUP(A367,[1]인포맥스!$A:$I,9,0)</f>
        <v>#N/A</v>
      </c>
      <c r="U367" s="70" t="e">
        <f t="shared" si="29"/>
        <v>#N/A</v>
      </c>
    </row>
    <row r="368" spans="1:21" x14ac:dyDescent="0.25">
      <c r="A368" s="3">
        <v>33238</v>
      </c>
      <c r="B368" s="29" t="e">
        <f>NA()</f>
        <v>#N/A</v>
      </c>
      <c r="C368" s="29" t="e">
        <v>#N/A</v>
      </c>
      <c r="D368" s="50">
        <f>40.8</f>
        <v>40.799999999999997</v>
      </c>
      <c r="E368" s="30">
        <v>40.799999999999997</v>
      </c>
      <c r="F368" s="29">
        <f>13</f>
        <v>13</v>
      </c>
      <c r="G368" s="31" t="e">
        <v>#N/A</v>
      </c>
      <c r="H368" s="51" t="e">
        <f t="shared" si="26"/>
        <v>#N/A</v>
      </c>
      <c r="I368" s="29">
        <f>7.3</f>
        <v>7.3</v>
      </c>
      <c r="J368" s="31">
        <v>57.77</v>
      </c>
      <c r="K368" s="51">
        <f t="shared" si="27"/>
        <v>7.2595618269587894E-2</v>
      </c>
      <c r="L368" s="29">
        <f>9.3</f>
        <v>9.3000000000000007</v>
      </c>
      <c r="M368" s="30">
        <v>9.3000000000000007</v>
      </c>
      <c r="N368" s="29">
        <f>30.1</f>
        <v>30.1</v>
      </c>
      <c r="O368" s="29">
        <v>146975.79999999999</v>
      </c>
      <c r="P368" s="51">
        <f t="shared" si="25"/>
        <v>0.30057526748035307</v>
      </c>
      <c r="Q368" s="29">
        <f>9.4</f>
        <v>9.4</v>
      </c>
      <c r="R368" s="43">
        <v>29.1</v>
      </c>
      <c r="S368" s="32">
        <f t="shared" si="28"/>
        <v>9.8113207547169859E-2</v>
      </c>
      <c r="T368" s="54" t="e">
        <f>VLOOKUP(A368,[1]인포맥스!$A:$I,9,0)</f>
        <v>#N/A</v>
      </c>
      <c r="U368" s="70" t="e">
        <f t="shared" si="29"/>
        <v>#N/A</v>
      </c>
    </row>
    <row r="369" spans="1:21" x14ac:dyDescent="0.25">
      <c r="A369" s="3">
        <v>33207</v>
      </c>
      <c r="B369" s="29" t="e">
        <f>NA()</f>
        <v>#N/A</v>
      </c>
      <c r="C369" s="29" t="e">
        <v>#N/A</v>
      </c>
      <c r="D369" s="50">
        <f>41.3</f>
        <v>41.3</v>
      </c>
      <c r="E369" s="30">
        <v>41.3</v>
      </c>
      <c r="F369" s="29">
        <f>6.5</f>
        <v>6.5</v>
      </c>
      <c r="G369" s="31" t="e">
        <v>#N/A</v>
      </c>
      <c r="H369" s="51" t="e">
        <f t="shared" si="26"/>
        <v>#N/A</v>
      </c>
      <c r="I369" s="29">
        <f>6.2</f>
        <v>6.2</v>
      </c>
      <c r="J369" s="31">
        <v>57.14</v>
      </c>
      <c r="K369" s="51">
        <f t="shared" si="27"/>
        <v>6.1884408102583131E-2</v>
      </c>
      <c r="L369" s="29">
        <f>8.6</f>
        <v>8.6</v>
      </c>
      <c r="M369" s="30">
        <v>8.6</v>
      </c>
      <c r="N369" s="29">
        <f>29.3</f>
        <v>29.3</v>
      </c>
      <c r="O369" s="29">
        <v>141226</v>
      </c>
      <c r="P369" s="51">
        <f t="shared" si="25"/>
        <v>0.29284033798072084</v>
      </c>
      <c r="Q369" s="29">
        <f>9.5</f>
        <v>9.5</v>
      </c>
      <c r="R369" s="43">
        <v>28.9</v>
      </c>
      <c r="S369" s="32">
        <f t="shared" si="28"/>
        <v>9.4696969696969696E-2</v>
      </c>
      <c r="T369" s="54" t="e">
        <f>VLOOKUP(A369,[1]인포맥스!$A:$I,9,0)</f>
        <v>#N/A</v>
      </c>
      <c r="U369" s="70" t="e">
        <f t="shared" si="29"/>
        <v>#N/A</v>
      </c>
    </row>
    <row r="370" spans="1:21" x14ac:dyDescent="0.25">
      <c r="A370" s="3">
        <v>33177</v>
      </c>
      <c r="B370" s="29" t="e">
        <f>NA()</f>
        <v>#N/A</v>
      </c>
      <c r="C370" s="29" t="e">
        <v>#N/A</v>
      </c>
      <c r="D370" s="50">
        <f>43.2</f>
        <v>43.2</v>
      </c>
      <c r="E370" s="30">
        <v>43.2</v>
      </c>
      <c r="F370" s="29">
        <f>-0.4</f>
        <v>-0.4</v>
      </c>
      <c r="G370" s="31" t="e">
        <v>#N/A</v>
      </c>
      <c r="H370" s="51" t="e">
        <f t="shared" si="26"/>
        <v>#N/A</v>
      </c>
      <c r="I370" s="29">
        <f>5.7</f>
        <v>5.7</v>
      </c>
      <c r="J370" s="31">
        <v>57.06</v>
      </c>
      <c r="K370" s="51">
        <f t="shared" si="27"/>
        <v>5.744996293550781E-2</v>
      </c>
      <c r="L370" s="29">
        <f>8.7</f>
        <v>8.6999999999999993</v>
      </c>
      <c r="M370" s="30">
        <v>8.6999999999999993</v>
      </c>
      <c r="N370" s="29">
        <f>28.7</f>
        <v>28.7</v>
      </c>
      <c r="O370" s="29">
        <v>138782.9</v>
      </c>
      <c r="P370" s="51">
        <f t="shared" si="25"/>
        <v>0.28670552600568694</v>
      </c>
      <c r="Q370" s="29">
        <f>9.4</f>
        <v>9.4</v>
      </c>
      <c r="R370" s="43">
        <v>28.7</v>
      </c>
      <c r="S370" s="32">
        <f t="shared" si="28"/>
        <v>9.5419847328244281E-2</v>
      </c>
      <c r="T370" s="54" t="e">
        <f>VLOOKUP(A370,[1]인포맥스!$A:$I,9,0)</f>
        <v>#N/A</v>
      </c>
      <c r="U370" s="70" t="e">
        <f t="shared" si="29"/>
        <v>#N/A</v>
      </c>
    </row>
    <row r="371" spans="1:21" x14ac:dyDescent="0.25">
      <c r="A371" s="3">
        <v>33146</v>
      </c>
      <c r="B371" s="29" t="e">
        <f>NA()</f>
        <v>#N/A</v>
      </c>
      <c r="C371" s="29" t="e">
        <v>#N/A</v>
      </c>
      <c r="D371" s="50">
        <f>44.5</f>
        <v>44.5</v>
      </c>
      <c r="E371" s="30">
        <v>44.5</v>
      </c>
      <c r="F371" s="29">
        <f>11.6</f>
        <v>11.6</v>
      </c>
      <c r="G371" s="31" t="e">
        <v>#N/A</v>
      </c>
      <c r="H371" s="51" t="e">
        <f t="shared" si="26"/>
        <v>#N/A</v>
      </c>
      <c r="I371" s="29">
        <f>4.9</f>
        <v>4.9000000000000004</v>
      </c>
      <c r="J371" s="31">
        <v>56.52</v>
      </c>
      <c r="K371" s="51">
        <f t="shared" si="27"/>
        <v>4.9387300408466464E-2</v>
      </c>
      <c r="L371" s="29">
        <f>8.6</f>
        <v>8.6</v>
      </c>
      <c r="M371" s="30">
        <v>8.6</v>
      </c>
      <c r="N371" s="29">
        <f>28.7</f>
        <v>28.7</v>
      </c>
      <c r="O371" s="29">
        <v>136810.70000000001</v>
      </c>
      <c r="P371" s="51">
        <f t="shared" si="25"/>
        <v>0.28660325688297722</v>
      </c>
      <c r="Q371" s="29">
        <f>9</f>
        <v>9</v>
      </c>
      <c r="R371" s="43">
        <v>28.4</v>
      </c>
      <c r="S371" s="32">
        <f t="shared" si="28"/>
        <v>9.2307692307692257E-2</v>
      </c>
      <c r="T371" s="54" t="e">
        <f>VLOOKUP(A371,[1]인포맥스!$A:$I,9,0)</f>
        <v>#N/A</v>
      </c>
      <c r="U371" s="70" t="e">
        <f t="shared" si="29"/>
        <v>#N/A</v>
      </c>
    </row>
    <row r="372" spans="1:21" x14ac:dyDescent="0.25">
      <c r="A372" s="3">
        <v>33116</v>
      </c>
      <c r="B372" s="29" t="e">
        <f>NA()</f>
        <v>#N/A</v>
      </c>
      <c r="C372" s="29" t="e">
        <v>#N/A</v>
      </c>
      <c r="D372" s="50">
        <f>46.1</f>
        <v>46.1</v>
      </c>
      <c r="E372" s="30">
        <v>46.1</v>
      </c>
      <c r="F372" s="29">
        <f>1</f>
        <v>1</v>
      </c>
      <c r="G372" s="31" t="e">
        <v>#N/A</v>
      </c>
      <c r="H372" s="51" t="e">
        <f t="shared" si="26"/>
        <v>#N/A</v>
      </c>
      <c r="I372" s="29">
        <f>4.2</f>
        <v>4.2</v>
      </c>
      <c r="J372" s="31">
        <v>55.81</v>
      </c>
      <c r="K372" s="51">
        <f t="shared" si="27"/>
        <v>4.2203548085901127E-2</v>
      </c>
      <c r="L372" s="29">
        <f>9</f>
        <v>9</v>
      </c>
      <c r="M372" s="30">
        <v>9</v>
      </c>
      <c r="N372" s="29">
        <f>26.6</f>
        <v>26.6</v>
      </c>
      <c r="O372" s="29">
        <v>129478.5</v>
      </c>
      <c r="P372" s="51">
        <f t="shared" si="25"/>
        <v>0.26641477618392767</v>
      </c>
      <c r="Q372" s="29">
        <f>8.6</f>
        <v>8.6</v>
      </c>
      <c r="R372" s="43">
        <v>28.1</v>
      </c>
      <c r="S372" s="32">
        <f t="shared" si="28"/>
        <v>8.9147286821705446E-2</v>
      </c>
      <c r="T372" s="54" t="e">
        <f>VLOOKUP(A372,[1]인포맥스!$A:$I,9,0)</f>
        <v>#N/A</v>
      </c>
      <c r="U372" s="70" t="e">
        <f t="shared" si="29"/>
        <v>#N/A</v>
      </c>
    </row>
    <row r="373" spans="1:21" x14ac:dyDescent="0.25">
      <c r="A373" s="3">
        <v>33085</v>
      </c>
      <c r="B373" s="29" t="e">
        <f>NA()</f>
        <v>#N/A</v>
      </c>
      <c r="C373" s="29" t="e">
        <v>#N/A</v>
      </c>
      <c r="D373" s="50">
        <f>46.6</f>
        <v>46.6</v>
      </c>
      <c r="E373" s="30">
        <v>46.6</v>
      </c>
      <c r="F373" s="29">
        <f>4.9</f>
        <v>4.9000000000000004</v>
      </c>
      <c r="G373" s="31" t="e">
        <v>#N/A</v>
      </c>
      <c r="H373" s="51" t="e">
        <f t="shared" si="26"/>
        <v>#N/A</v>
      </c>
      <c r="I373" s="29">
        <f>4.2</f>
        <v>4.2</v>
      </c>
      <c r="J373" s="31">
        <v>55.57</v>
      </c>
      <c r="K373" s="51">
        <f t="shared" si="27"/>
        <v>4.1807274090738596E-2</v>
      </c>
      <c r="L373" s="29">
        <f>9.4</f>
        <v>9.4</v>
      </c>
      <c r="M373" s="30">
        <v>9.4</v>
      </c>
      <c r="N373" s="29">
        <f>28.4</f>
        <v>28.4</v>
      </c>
      <c r="O373" s="29">
        <v>130497.60000000001</v>
      </c>
      <c r="P373" s="51">
        <f t="shared" si="25"/>
        <v>0.28385782267482201</v>
      </c>
      <c r="Q373" s="29">
        <f>8.3</f>
        <v>8.3000000000000007</v>
      </c>
      <c r="R373" s="43">
        <v>27.8</v>
      </c>
      <c r="S373" s="32">
        <f t="shared" si="28"/>
        <v>8.5937499999999972E-2</v>
      </c>
      <c r="T373" s="54" t="e">
        <f>VLOOKUP(A373,[1]인포맥스!$A:$I,9,0)</f>
        <v>#N/A</v>
      </c>
      <c r="U373" s="70" t="e">
        <f t="shared" si="29"/>
        <v>#N/A</v>
      </c>
    </row>
    <row r="374" spans="1:21" x14ac:dyDescent="0.25">
      <c r="A374" s="3">
        <v>33054</v>
      </c>
      <c r="B374" s="29" t="e">
        <f>NA()</f>
        <v>#N/A</v>
      </c>
      <c r="C374" s="29" t="e">
        <v>#N/A</v>
      </c>
      <c r="D374" s="50">
        <f>49.2</f>
        <v>49.2</v>
      </c>
      <c r="E374" s="30">
        <v>49.2</v>
      </c>
      <c r="F374" s="29">
        <f>4.8</f>
        <v>4.8</v>
      </c>
      <c r="G374" s="31" t="e">
        <v>#N/A</v>
      </c>
      <c r="H374" s="51" t="e">
        <f t="shared" si="26"/>
        <v>#N/A</v>
      </c>
      <c r="I374" s="29">
        <f>3.6</f>
        <v>3.6</v>
      </c>
      <c r="J374" s="31">
        <v>55.65</v>
      </c>
      <c r="K374" s="51">
        <f t="shared" si="27"/>
        <v>3.6312849162011093E-2</v>
      </c>
      <c r="L374" s="29">
        <f>8.9</f>
        <v>8.9</v>
      </c>
      <c r="M374" s="30">
        <v>8.9</v>
      </c>
      <c r="N374" s="29">
        <f>29</f>
        <v>29</v>
      </c>
      <c r="O374" s="29">
        <v>129180.1</v>
      </c>
      <c r="P374" s="51">
        <f t="shared" si="25"/>
        <v>0.29033517923638746</v>
      </c>
      <c r="Q374" s="29">
        <f>8.2</f>
        <v>8.1999999999999993</v>
      </c>
      <c r="R374" s="43">
        <v>27.6</v>
      </c>
      <c r="S374" s="32">
        <f t="shared" si="28"/>
        <v>8.6614173228346567E-2</v>
      </c>
      <c r="T374" s="54" t="e">
        <f>VLOOKUP(A374,[1]인포맥스!$A:$I,9,0)</f>
        <v>#N/A</v>
      </c>
      <c r="U374" s="70" t="e">
        <f t="shared" si="29"/>
        <v>#N/A</v>
      </c>
    </row>
    <row r="375" spans="1:21" x14ac:dyDescent="0.25">
      <c r="A375" s="3">
        <v>33024</v>
      </c>
      <c r="B375" s="29" t="e">
        <f>NA()</f>
        <v>#N/A</v>
      </c>
      <c r="C375" s="29" t="e">
        <v>#N/A</v>
      </c>
      <c r="D375" s="50">
        <f>49.5</f>
        <v>49.5</v>
      </c>
      <c r="E375" s="30">
        <v>49.5</v>
      </c>
      <c r="F375" s="29">
        <f>5.4</f>
        <v>5.4</v>
      </c>
      <c r="G375" s="31" t="e">
        <v>#N/A</v>
      </c>
      <c r="H375" s="51" t="e">
        <f t="shared" si="26"/>
        <v>#N/A</v>
      </c>
      <c r="I375" s="29">
        <f>3.3</f>
        <v>3.3</v>
      </c>
      <c r="J375" s="31">
        <v>55.49</v>
      </c>
      <c r="K375" s="51">
        <f t="shared" si="27"/>
        <v>3.3333333333333319E-2</v>
      </c>
      <c r="L375" s="29">
        <f>8.6</f>
        <v>8.6</v>
      </c>
      <c r="M375" s="30">
        <v>8.6</v>
      </c>
      <c r="N375" s="29">
        <f>28</f>
        <v>28</v>
      </c>
      <c r="O375" s="29">
        <v>127286.2</v>
      </c>
      <c r="P375" s="51">
        <f t="shared" si="25"/>
        <v>0.28005720152979907</v>
      </c>
      <c r="Q375" s="29">
        <f>8.4</f>
        <v>8.4</v>
      </c>
      <c r="R375" s="43">
        <v>27.4</v>
      </c>
      <c r="S375" s="32">
        <f t="shared" si="28"/>
        <v>8.7301587301587269E-2</v>
      </c>
      <c r="T375" s="54" t="e">
        <f>VLOOKUP(A375,[1]인포맥스!$A:$I,9,0)</f>
        <v>#N/A</v>
      </c>
      <c r="U375" s="70" t="e">
        <f t="shared" si="29"/>
        <v>#N/A</v>
      </c>
    </row>
    <row r="376" spans="1:21" x14ac:dyDescent="0.25">
      <c r="A376" s="3">
        <v>32993</v>
      </c>
      <c r="B376" s="29" t="e">
        <f>NA()</f>
        <v>#N/A</v>
      </c>
      <c r="C376" s="29" t="e">
        <v>#N/A</v>
      </c>
      <c r="D376" s="50">
        <f>50</f>
        <v>50</v>
      </c>
      <c r="E376" s="30">
        <v>50</v>
      </c>
      <c r="F376" s="29">
        <f>3.5</f>
        <v>3.5</v>
      </c>
      <c r="G376" s="31" t="e">
        <v>#N/A</v>
      </c>
      <c r="H376" s="51" t="e">
        <f t="shared" si="26"/>
        <v>#N/A</v>
      </c>
      <c r="I376" s="29">
        <f>3</f>
        <v>3</v>
      </c>
      <c r="J376" s="31">
        <v>55.11</v>
      </c>
      <c r="K376" s="51">
        <f t="shared" si="27"/>
        <v>3.028603477285469E-2</v>
      </c>
      <c r="L376" s="29">
        <f>8.7</f>
        <v>8.6999999999999993</v>
      </c>
      <c r="M376" s="30">
        <v>8.6999999999999993</v>
      </c>
      <c r="N376" s="29">
        <f>27.4</f>
        <v>27.4</v>
      </c>
      <c r="O376" s="29">
        <v>125338.5</v>
      </c>
      <c r="P376" s="51">
        <f t="shared" si="25"/>
        <v>0.27441540297997552</v>
      </c>
      <c r="Q376" s="29">
        <f>8.7</f>
        <v>8.6999999999999993</v>
      </c>
      <c r="R376" s="43">
        <v>27.2</v>
      </c>
      <c r="S376" s="32">
        <f t="shared" si="28"/>
        <v>9.2369477911646625E-2</v>
      </c>
      <c r="T376" s="54" t="e">
        <f>VLOOKUP(A376,[1]인포맥스!$A:$I,9,0)</f>
        <v>#N/A</v>
      </c>
      <c r="U376" s="70" t="e">
        <f t="shared" si="29"/>
        <v>#N/A</v>
      </c>
    </row>
    <row r="377" spans="1:21" x14ac:dyDescent="0.25">
      <c r="A377" s="3">
        <v>32963</v>
      </c>
      <c r="B377" s="29" t="e">
        <f>NA()</f>
        <v>#N/A</v>
      </c>
      <c r="C377" s="29" t="e">
        <v>#N/A</v>
      </c>
      <c r="D377" s="50">
        <f>49.9</f>
        <v>49.9</v>
      </c>
      <c r="E377" s="30">
        <v>49.9</v>
      </c>
      <c r="F377" s="29">
        <f>-1.1</f>
        <v>-1.1000000000000001</v>
      </c>
      <c r="G377" s="31" t="e">
        <v>#N/A</v>
      </c>
      <c r="H377" s="51" t="e">
        <f t="shared" si="26"/>
        <v>#N/A</v>
      </c>
      <c r="I377" s="29">
        <f>2.8</f>
        <v>2.8</v>
      </c>
      <c r="J377" s="31">
        <v>54.79</v>
      </c>
      <c r="K377" s="51">
        <f t="shared" si="27"/>
        <v>2.7954971857410922E-2</v>
      </c>
      <c r="L377" s="29">
        <f>8</f>
        <v>8</v>
      </c>
      <c r="M377" s="30">
        <v>8</v>
      </c>
      <c r="N377" s="29">
        <f>26.1</f>
        <v>26.1</v>
      </c>
      <c r="O377" s="29">
        <v>123086.39999999999</v>
      </c>
      <c r="P377" s="51">
        <f t="shared" si="25"/>
        <v>0.26494542457430548</v>
      </c>
      <c r="Q377" s="29">
        <f>8.9</f>
        <v>8.9</v>
      </c>
      <c r="R377" s="43">
        <v>27.1</v>
      </c>
      <c r="S377" s="32">
        <f t="shared" si="28"/>
        <v>9.7165991902834092E-2</v>
      </c>
      <c r="T377" s="54" t="e">
        <f>VLOOKUP(A377,[1]인포맥스!$A:$I,9,0)</f>
        <v>#N/A</v>
      </c>
      <c r="U377" s="70" t="e">
        <f t="shared" si="29"/>
        <v>#N/A</v>
      </c>
    </row>
    <row r="378" spans="1:21" x14ac:dyDescent="0.25">
      <c r="A378" s="3">
        <v>32932</v>
      </c>
      <c r="B378" s="29" t="e">
        <f>NA()</f>
        <v>#N/A</v>
      </c>
      <c r="C378" s="29" t="e">
        <v>#N/A</v>
      </c>
      <c r="D378" s="50">
        <f>49.1</f>
        <v>49.1</v>
      </c>
      <c r="E378" s="30">
        <v>49.1</v>
      </c>
      <c r="F378" s="29">
        <f>7.9</f>
        <v>7.9</v>
      </c>
      <c r="G378" s="31" t="e">
        <v>#N/A</v>
      </c>
      <c r="H378" s="51" t="e">
        <f t="shared" si="26"/>
        <v>#N/A</v>
      </c>
      <c r="I378" s="29">
        <f>2.3</f>
        <v>2.2999999999999998</v>
      </c>
      <c r="J378" s="31">
        <v>54.55</v>
      </c>
      <c r="K378" s="51">
        <f t="shared" si="27"/>
        <v>2.3452157598499064E-2</v>
      </c>
      <c r="L378" s="29">
        <f>7.6</f>
        <v>7.6</v>
      </c>
      <c r="M378" s="30">
        <v>7.6</v>
      </c>
      <c r="N378" s="29">
        <f>26.1</f>
        <v>26.1</v>
      </c>
      <c r="O378" s="29">
        <v>119931.5</v>
      </c>
      <c r="P378" s="51">
        <f t="shared" si="25"/>
        <v>0.26086540564181071</v>
      </c>
      <c r="Q378" s="29">
        <f>9</f>
        <v>9</v>
      </c>
      <c r="R378" s="43">
        <v>26.9</v>
      </c>
      <c r="S378" s="32">
        <f t="shared" si="28"/>
        <v>9.7959183673469327E-2</v>
      </c>
      <c r="T378" s="54" t="e">
        <f>VLOOKUP(A378,[1]인포맥스!$A:$I,9,0)</f>
        <v>#N/A</v>
      </c>
      <c r="U378" s="70" t="e">
        <f t="shared" si="29"/>
        <v>#N/A</v>
      </c>
    </row>
    <row r="379" spans="1:21" x14ac:dyDescent="0.25">
      <c r="A379" s="3">
        <v>32904</v>
      </c>
      <c r="B379" s="29" t="e">
        <f>NA()</f>
        <v>#N/A</v>
      </c>
      <c r="C379" s="29" t="e">
        <v>#N/A</v>
      </c>
      <c r="D379" s="50">
        <f>47.2</f>
        <v>47.2</v>
      </c>
      <c r="E379" s="30">
        <v>47.2</v>
      </c>
      <c r="F379" s="29">
        <f>-10</f>
        <v>-10</v>
      </c>
      <c r="G379" s="31" t="e">
        <v>#N/A</v>
      </c>
      <c r="H379" s="51" t="e">
        <f t="shared" si="26"/>
        <v>#N/A</v>
      </c>
      <c r="I379" s="29">
        <f>2.4</f>
        <v>2.4</v>
      </c>
      <c r="J379" s="31">
        <v>54.48</v>
      </c>
      <c r="K379" s="51">
        <f t="shared" si="27"/>
        <v>2.4252679075014084E-2</v>
      </c>
      <c r="L379" s="29">
        <f>7.3</f>
        <v>7.3</v>
      </c>
      <c r="M379" s="30">
        <v>7.3</v>
      </c>
      <c r="N379" s="29">
        <f>25.8</f>
        <v>25.8</v>
      </c>
      <c r="O379" s="29">
        <v>118596</v>
      </c>
      <c r="P379" s="51">
        <f t="shared" si="25"/>
        <v>0.25784856095574255</v>
      </c>
      <c r="Q379" s="29">
        <f>9.1</f>
        <v>9.1</v>
      </c>
      <c r="R379" s="43">
        <v>26.7</v>
      </c>
      <c r="S379" s="32">
        <f t="shared" si="28"/>
        <v>9.8765432098765371E-2</v>
      </c>
      <c r="T379" s="54" t="e">
        <f>VLOOKUP(A379,[1]인포맥스!$A:$I,9,0)</f>
        <v>#N/A</v>
      </c>
      <c r="U379" s="70" t="e">
        <f t="shared" si="29"/>
        <v>#N/A</v>
      </c>
    </row>
    <row r="380" spans="1:21" x14ac:dyDescent="0.25">
      <c r="A380" s="3">
        <v>32873</v>
      </c>
      <c r="B380" s="29" t="e">
        <f>NA()</f>
        <v>#N/A</v>
      </c>
      <c r="C380" s="29" t="e">
        <v>#N/A</v>
      </c>
      <c r="D380" s="50">
        <f>47.4</f>
        <v>47.4</v>
      </c>
      <c r="E380" s="30">
        <v>47.4</v>
      </c>
      <c r="F380" s="29">
        <f>-2.9</f>
        <v>-2.9</v>
      </c>
      <c r="G380" s="31" t="e">
        <v>#N/A</v>
      </c>
      <c r="H380" s="51" t="e">
        <f t="shared" si="26"/>
        <v>#N/A</v>
      </c>
      <c r="I380" s="29">
        <f>1.1</f>
        <v>1.1000000000000001</v>
      </c>
      <c r="J380" s="31">
        <v>53.86</v>
      </c>
      <c r="K380" s="51">
        <f t="shared" si="27"/>
        <v>1.0506566604127623E-2</v>
      </c>
      <c r="L380" s="29">
        <f>5.1</f>
        <v>5.0999999999999996</v>
      </c>
      <c r="M380" s="30">
        <v>5.0999999999999996</v>
      </c>
      <c r="N380" s="29">
        <f>21.9</f>
        <v>21.9</v>
      </c>
      <c r="O380" s="29">
        <v>113008.3</v>
      </c>
      <c r="P380" s="51">
        <f t="shared" si="25"/>
        <v>0.21947147887285959</v>
      </c>
      <c r="Q380" s="29">
        <f>9</f>
        <v>9</v>
      </c>
      <c r="R380" s="43">
        <v>26.5</v>
      </c>
      <c r="S380" s="32">
        <f t="shared" si="28"/>
        <v>0.10416666666666667</v>
      </c>
      <c r="T380" s="54" t="e">
        <f>VLOOKUP(A380,[1]인포맥스!$A:$I,9,0)</f>
        <v>#N/A</v>
      </c>
      <c r="U380" s="70" t="e">
        <f t="shared" si="29"/>
        <v>#N/A</v>
      </c>
    </row>
    <row r="381" spans="1:21" x14ac:dyDescent="0.25">
      <c r="A381" s="3">
        <v>32842</v>
      </c>
      <c r="B381" s="29" t="e">
        <f>NA()</f>
        <v>#N/A</v>
      </c>
      <c r="C381" s="29" t="e">
        <v>#N/A</v>
      </c>
      <c r="D381" s="50">
        <f>46.8</f>
        <v>46.8</v>
      </c>
      <c r="E381" s="30">
        <v>46.8</v>
      </c>
      <c r="F381" s="29">
        <f>-2.7</f>
        <v>-2.7</v>
      </c>
      <c r="G381" s="31" t="e">
        <v>#N/A</v>
      </c>
      <c r="H381" s="51" t="e">
        <f t="shared" si="26"/>
        <v>#N/A</v>
      </c>
      <c r="I381" s="29">
        <f>1.5</f>
        <v>1.5</v>
      </c>
      <c r="J381" s="31">
        <v>53.81</v>
      </c>
      <c r="K381" s="51">
        <f t="shared" si="27"/>
        <v>1.4708655478031324E-2</v>
      </c>
      <c r="L381" s="29">
        <f>6.1</f>
        <v>6.1</v>
      </c>
      <c r="M381" s="30">
        <v>6.1</v>
      </c>
      <c r="N381" s="29">
        <f>21.6</f>
        <v>21.6</v>
      </c>
      <c r="O381" s="29">
        <v>109237</v>
      </c>
      <c r="P381" s="51">
        <f t="shared" si="25"/>
        <v>0.21573419607869329</v>
      </c>
      <c r="Q381" s="29">
        <f>9.1</f>
        <v>9.1</v>
      </c>
      <c r="R381" s="43">
        <v>26.4</v>
      </c>
      <c r="S381" s="32">
        <f t="shared" si="28"/>
        <v>0.10460251046025106</v>
      </c>
      <c r="T381" s="54" t="e">
        <f>VLOOKUP(A381,[1]인포맥스!$A:$I,9,0)</f>
        <v>#N/A</v>
      </c>
      <c r="U381" s="70" t="e">
        <f t="shared" si="29"/>
        <v>#N/A</v>
      </c>
    </row>
    <row r="382" spans="1:21" x14ac:dyDescent="0.25">
      <c r="A382" s="3">
        <v>32812</v>
      </c>
      <c r="B382" s="29" t="e">
        <f>NA()</f>
        <v>#N/A</v>
      </c>
      <c r="C382" s="29" t="e">
        <v>#N/A</v>
      </c>
      <c r="D382" s="50">
        <f>46.8</f>
        <v>46.8</v>
      </c>
      <c r="E382" s="30">
        <v>46.8</v>
      </c>
      <c r="F382" s="29">
        <f>0.9</f>
        <v>0.9</v>
      </c>
      <c r="G382" s="31" t="e">
        <v>#N/A</v>
      </c>
      <c r="H382" s="51" t="e">
        <f t="shared" si="26"/>
        <v>#N/A</v>
      </c>
      <c r="I382" s="29">
        <f>2.4</f>
        <v>2.4</v>
      </c>
      <c r="J382" s="31">
        <v>53.96</v>
      </c>
      <c r="K382" s="51">
        <f t="shared" si="27"/>
        <v>2.3714665148928098E-2</v>
      </c>
      <c r="L382" s="29">
        <f>6.7</f>
        <v>6.7</v>
      </c>
      <c r="M382" s="30">
        <v>6.7</v>
      </c>
      <c r="N382" s="29">
        <f>22.2</f>
        <v>22.2</v>
      </c>
      <c r="O382" s="29">
        <v>107859.1</v>
      </c>
      <c r="P382" s="51">
        <f t="shared" si="25"/>
        <v>0.22242106217557864</v>
      </c>
      <c r="Q382" s="29">
        <f>9.2</f>
        <v>9.1999999999999993</v>
      </c>
      <c r="R382" s="43">
        <v>26.2</v>
      </c>
      <c r="S382" s="32">
        <f t="shared" si="28"/>
        <v>9.6234309623430991E-2</v>
      </c>
      <c r="T382" s="54" t="e">
        <f>VLOOKUP(A382,[1]인포맥스!$A:$I,9,0)</f>
        <v>#N/A</v>
      </c>
      <c r="U382" s="70" t="e">
        <f t="shared" si="29"/>
        <v>#N/A</v>
      </c>
    </row>
    <row r="383" spans="1:21" x14ac:dyDescent="0.25">
      <c r="A383" s="3">
        <v>32781</v>
      </c>
      <c r="B383" s="29" t="e">
        <f>NA()</f>
        <v>#N/A</v>
      </c>
      <c r="C383" s="29" t="e">
        <v>#N/A</v>
      </c>
      <c r="D383" s="50">
        <f>46</f>
        <v>46</v>
      </c>
      <c r="E383" s="30">
        <v>46</v>
      </c>
      <c r="F383" s="29">
        <f>1.5</f>
        <v>1.5</v>
      </c>
      <c r="G383" s="31" t="e">
        <v>#N/A</v>
      </c>
      <c r="H383" s="51" t="e">
        <f t="shared" si="26"/>
        <v>#N/A</v>
      </c>
      <c r="I383" s="29">
        <f>1.6</f>
        <v>1.6</v>
      </c>
      <c r="J383" s="31">
        <v>53.86</v>
      </c>
      <c r="K383" s="51">
        <f t="shared" si="27"/>
        <v>1.5651518008674304E-2</v>
      </c>
      <c r="L383" s="29">
        <f>6.2</f>
        <v>6.2</v>
      </c>
      <c r="M383" s="30">
        <v>6.2</v>
      </c>
      <c r="N383" s="29">
        <f>22.5</f>
        <v>22.5</v>
      </c>
      <c r="O383" s="29">
        <v>106334.8</v>
      </c>
      <c r="P383" s="51">
        <f t="shared" si="25"/>
        <v>0.22480836236933802</v>
      </c>
      <c r="Q383" s="29">
        <f>9</f>
        <v>9</v>
      </c>
      <c r="R383" s="43">
        <v>26</v>
      </c>
      <c r="S383" s="32">
        <f t="shared" si="28"/>
        <v>9.2436974789915929E-2</v>
      </c>
      <c r="T383" s="54" t="e">
        <f>VLOOKUP(A383,[1]인포맥스!$A:$I,9,0)</f>
        <v>#N/A</v>
      </c>
      <c r="U383" s="70" t="e">
        <f t="shared" si="29"/>
        <v>#N/A</v>
      </c>
    </row>
    <row r="384" spans="1:21" x14ac:dyDescent="0.25">
      <c r="A384" s="3">
        <v>32751</v>
      </c>
      <c r="B384" s="29" t="e">
        <f>NA()</f>
        <v>#N/A</v>
      </c>
      <c r="C384" s="29" t="e">
        <v>#N/A</v>
      </c>
      <c r="D384" s="50">
        <f>45.1</f>
        <v>45.1</v>
      </c>
      <c r="E384" s="30">
        <v>45.1</v>
      </c>
      <c r="F384" s="29">
        <f>-0.8</f>
        <v>-0.8</v>
      </c>
      <c r="G384" s="31" t="e">
        <v>#N/A</v>
      </c>
      <c r="H384" s="51" t="e">
        <f t="shared" si="26"/>
        <v>#N/A</v>
      </c>
      <c r="I384" s="29">
        <f>0.7</f>
        <v>0.7</v>
      </c>
      <c r="J384" s="31">
        <v>53.55</v>
      </c>
      <c r="K384" s="51">
        <f t="shared" si="27"/>
        <v>6.7681895093062499E-3</v>
      </c>
      <c r="L384" s="29">
        <f>5.5</f>
        <v>5.5</v>
      </c>
      <c r="M384" s="30">
        <v>5.5</v>
      </c>
      <c r="N384" s="29">
        <f>21.2</f>
        <v>21.2</v>
      </c>
      <c r="O384" s="29">
        <v>102240.2</v>
      </c>
      <c r="P384" s="51">
        <f t="shared" si="25"/>
        <v>0.21227592977729934</v>
      </c>
      <c r="Q384" s="29">
        <f>8.8</f>
        <v>8.8000000000000007</v>
      </c>
      <c r="R384" s="43">
        <v>25.8</v>
      </c>
      <c r="S384" s="32">
        <f t="shared" si="28"/>
        <v>8.8607594936708917E-2</v>
      </c>
      <c r="T384" s="54" t="e">
        <f>VLOOKUP(A384,[1]인포맥스!$A:$I,9,0)</f>
        <v>#N/A</v>
      </c>
      <c r="U384" s="70" t="e">
        <f t="shared" si="29"/>
        <v>#N/A</v>
      </c>
    </row>
    <row r="385" spans="1:21" x14ac:dyDescent="0.25">
      <c r="A385" s="3">
        <v>32720</v>
      </c>
      <c r="B385" s="29" t="e">
        <f>NA()</f>
        <v>#N/A</v>
      </c>
      <c r="C385" s="29" t="e">
        <v>#N/A</v>
      </c>
      <c r="D385" s="50">
        <f>45.9</f>
        <v>45.9</v>
      </c>
      <c r="E385" s="30">
        <v>45.9</v>
      </c>
      <c r="F385" s="29">
        <f>0.6</f>
        <v>0.6</v>
      </c>
      <c r="G385" s="31" t="e">
        <v>#N/A</v>
      </c>
      <c r="H385" s="51" t="e">
        <f t="shared" si="26"/>
        <v>#N/A</v>
      </c>
      <c r="I385" s="29">
        <f>0.8</f>
        <v>0.8</v>
      </c>
      <c r="J385" s="31">
        <v>53.34</v>
      </c>
      <c r="K385" s="51">
        <f t="shared" si="27"/>
        <v>7.7460797279426353E-3</v>
      </c>
      <c r="L385" s="29">
        <f>5.3</f>
        <v>5.3</v>
      </c>
      <c r="M385" s="30">
        <v>5.3</v>
      </c>
      <c r="N385" s="29">
        <f>24.6</f>
        <v>24.6</v>
      </c>
      <c r="O385" s="29">
        <v>101644.9</v>
      </c>
      <c r="P385" s="51">
        <f t="shared" si="25"/>
        <v>0.24559333166674002</v>
      </c>
      <c r="Q385" s="29">
        <f>8.8</f>
        <v>8.8000000000000007</v>
      </c>
      <c r="R385" s="43">
        <v>25.6</v>
      </c>
      <c r="S385" s="32">
        <f t="shared" si="28"/>
        <v>8.9361702127659634E-2</v>
      </c>
      <c r="T385" s="54" t="e">
        <f>VLOOKUP(A385,[1]인포맥스!$A:$I,9,0)</f>
        <v>#N/A</v>
      </c>
      <c r="U385" s="70" t="e">
        <f t="shared" si="29"/>
        <v>#N/A</v>
      </c>
    </row>
    <row r="386" spans="1:21" x14ac:dyDescent="0.25">
      <c r="A386" s="3">
        <v>32689</v>
      </c>
      <c r="B386" s="29" t="e">
        <f>NA()</f>
        <v>#N/A</v>
      </c>
      <c r="C386" s="29" t="e">
        <v>#N/A</v>
      </c>
      <c r="D386" s="50">
        <f>47.3</f>
        <v>47.3</v>
      </c>
      <c r="E386" s="30">
        <v>47.3</v>
      </c>
      <c r="F386" s="29">
        <f>7.4</f>
        <v>7.4</v>
      </c>
      <c r="G386" s="31" t="e">
        <v>#N/A</v>
      </c>
      <c r="H386" s="51" t="e">
        <f t="shared" si="26"/>
        <v>#N/A</v>
      </c>
      <c r="I386" s="29">
        <f>1.9</f>
        <v>1.9</v>
      </c>
      <c r="J386" s="31">
        <v>53.7</v>
      </c>
      <c r="K386" s="51">
        <f t="shared" si="27"/>
        <v>1.878201479795109E-2</v>
      </c>
      <c r="L386" s="29">
        <f>5.5</f>
        <v>5.5</v>
      </c>
      <c r="M386" s="30">
        <v>5.5</v>
      </c>
      <c r="N386" s="29">
        <f>24.7</f>
        <v>24.7</v>
      </c>
      <c r="O386" s="29">
        <v>100113.60000000001</v>
      </c>
      <c r="P386" s="51">
        <f t="shared" si="25"/>
        <v>0.24677886567253401</v>
      </c>
      <c r="Q386" s="29">
        <f>8.7</f>
        <v>8.6999999999999993</v>
      </c>
      <c r="R386" s="43">
        <v>25.4</v>
      </c>
      <c r="S386" s="32">
        <f t="shared" si="28"/>
        <v>9.0128755364806773E-2</v>
      </c>
      <c r="T386" s="54" t="e">
        <f>VLOOKUP(A386,[1]인포맥스!$A:$I,9,0)</f>
        <v>#N/A</v>
      </c>
      <c r="U386" s="70" t="e">
        <f t="shared" si="29"/>
        <v>#N/A</v>
      </c>
    </row>
    <row r="387" spans="1:21" x14ac:dyDescent="0.25">
      <c r="A387" s="3">
        <v>32659</v>
      </c>
      <c r="B387" s="29" t="e">
        <f>NA()</f>
        <v>#N/A</v>
      </c>
      <c r="C387" s="29" t="e">
        <v>#N/A</v>
      </c>
      <c r="D387" s="50">
        <f>49.3</f>
        <v>49.3</v>
      </c>
      <c r="E387" s="30">
        <v>49.3</v>
      </c>
      <c r="F387" s="29">
        <f>3.7</f>
        <v>3.7</v>
      </c>
      <c r="G387" s="31" t="e">
        <v>#N/A</v>
      </c>
      <c r="H387" s="51" t="e">
        <f t="shared" si="26"/>
        <v>#N/A</v>
      </c>
      <c r="I387" s="29">
        <f>2</f>
        <v>2</v>
      </c>
      <c r="J387" s="31">
        <v>53.7</v>
      </c>
      <c r="K387" s="51">
        <f t="shared" si="27"/>
        <v>1.9555724321245513E-2</v>
      </c>
      <c r="L387" s="29">
        <f>6</f>
        <v>6</v>
      </c>
      <c r="M387" s="30">
        <v>6</v>
      </c>
      <c r="N387" s="29">
        <f>27.2</f>
        <v>27.2</v>
      </c>
      <c r="O387" s="29">
        <v>99437.9</v>
      </c>
      <c r="P387" s="51">
        <f t="shared" si="25"/>
        <v>0.27185601017096989</v>
      </c>
      <c r="Q387" s="29">
        <f>8.2</f>
        <v>8.1999999999999993</v>
      </c>
      <c r="R387" s="43">
        <v>25.2</v>
      </c>
      <c r="S387" s="32">
        <f t="shared" si="28"/>
        <v>8.6206896551724144E-2</v>
      </c>
      <c r="T387" s="54" t="e">
        <f>VLOOKUP(A387,[1]인포맥스!$A:$I,9,0)</f>
        <v>#N/A</v>
      </c>
      <c r="U387" s="70" t="e">
        <f t="shared" si="29"/>
        <v>#N/A</v>
      </c>
    </row>
    <row r="388" spans="1:21" x14ac:dyDescent="0.25">
      <c r="A388" s="3">
        <v>32628</v>
      </c>
      <c r="B388" s="29" t="e">
        <f>NA()</f>
        <v>#N/A</v>
      </c>
      <c r="C388" s="29" t="e">
        <v>#N/A</v>
      </c>
      <c r="D388" s="50">
        <f>52.2</f>
        <v>52.2</v>
      </c>
      <c r="E388" s="30">
        <v>52.2</v>
      </c>
      <c r="F388" s="29">
        <f>3.4</f>
        <v>3.4</v>
      </c>
      <c r="G388" s="31" t="e">
        <v>#N/A</v>
      </c>
      <c r="H388" s="51" t="e">
        <f t="shared" si="26"/>
        <v>#N/A</v>
      </c>
      <c r="I388" s="29">
        <f>2</f>
        <v>2</v>
      </c>
      <c r="J388" s="31">
        <v>53.49</v>
      </c>
      <c r="K388" s="51">
        <f t="shared" si="27"/>
        <v>1.9828408007626294E-2</v>
      </c>
      <c r="L388" s="29">
        <f>5.2</f>
        <v>5.2</v>
      </c>
      <c r="M388" s="30">
        <v>5.2</v>
      </c>
      <c r="N388" s="29">
        <f>27</f>
        <v>27</v>
      </c>
      <c r="O388" s="29">
        <v>98349.8</v>
      </c>
      <c r="P388" s="51">
        <f t="shared" si="25"/>
        <v>0.26994403712608572</v>
      </c>
      <c r="Q388" s="29">
        <f>7.8</f>
        <v>7.8</v>
      </c>
      <c r="R388" s="43">
        <v>24.9</v>
      </c>
      <c r="S388" s="32">
        <f t="shared" si="28"/>
        <v>8.2608695652173852E-2</v>
      </c>
      <c r="T388" s="54" t="e">
        <f>VLOOKUP(A388,[1]인포맥스!$A:$I,9,0)</f>
        <v>#N/A</v>
      </c>
      <c r="U388" s="70" t="e">
        <f t="shared" si="29"/>
        <v>#N/A</v>
      </c>
    </row>
    <row r="389" spans="1:21" x14ac:dyDescent="0.25">
      <c r="A389" s="3">
        <v>32598</v>
      </c>
      <c r="B389" s="29" t="e">
        <f>NA()</f>
        <v>#N/A</v>
      </c>
      <c r="C389" s="29" t="e">
        <v>#N/A</v>
      </c>
      <c r="D389" s="50">
        <f>51.5</f>
        <v>51.5</v>
      </c>
      <c r="E389" s="30">
        <v>51.5</v>
      </c>
      <c r="F389" s="29">
        <f>11.2</f>
        <v>11.2</v>
      </c>
      <c r="G389" s="31" t="e">
        <v>#N/A</v>
      </c>
      <c r="H389" s="51" t="e">
        <f t="shared" si="26"/>
        <v>#N/A</v>
      </c>
      <c r="I389" s="29">
        <f>1.3</f>
        <v>1.3</v>
      </c>
      <c r="J389" s="31">
        <v>53.3</v>
      </c>
      <c r="K389" s="51">
        <f t="shared" si="27"/>
        <v>1.3115377304694881E-2</v>
      </c>
      <c r="L389" s="29">
        <f>4.6</f>
        <v>4.5999999999999996</v>
      </c>
      <c r="M389" s="30">
        <v>4.5999999999999996</v>
      </c>
      <c r="N389" s="29">
        <f>28.2</f>
        <v>28.2</v>
      </c>
      <c r="O389" s="29">
        <v>97305.7</v>
      </c>
      <c r="P389" s="51">
        <f t="shared" ref="P389:P452" si="30">(O389-O401)/O401</f>
        <v>0.27912803545067238</v>
      </c>
      <c r="Q389" s="29">
        <f>7.4</f>
        <v>7.4</v>
      </c>
      <c r="R389" s="43">
        <v>24.7</v>
      </c>
      <c r="S389" s="32">
        <f t="shared" si="28"/>
        <v>7.8602620087336275E-2</v>
      </c>
      <c r="T389" s="54" t="e">
        <f>VLOOKUP(A389,[1]인포맥스!$A:$I,9,0)</f>
        <v>#N/A</v>
      </c>
      <c r="U389" s="70" t="e">
        <f t="shared" si="29"/>
        <v>#N/A</v>
      </c>
    </row>
    <row r="390" spans="1:21" x14ac:dyDescent="0.25">
      <c r="A390" s="3">
        <v>32567</v>
      </c>
      <c r="B390" s="29" t="e">
        <f>NA()</f>
        <v>#N/A</v>
      </c>
      <c r="C390" s="29" t="e">
        <v>#N/A</v>
      </c>
      <c r="D390" s="50">
        <f>54.1</f>
        <v>54.1</v>
      </c>
      <c r="E390" s="30">
        <v>54.1</v>
      </c>
      <c r="F390" s="29">
        <f>5.2</f>
        <v>5.2</v>
      </c>
      <c r="G390" s="31" t="e">
        <v>#N/A</v>
      </c>
      <c r="H390" s="51" t="e">
        <f t="shared" ref="H390:H453" si="31">(G390-G402)/G402</f>
        <v>#N/A</v>
      </c>
      <c r="I390" s="29">
        <f>1.1</f>
        <v>1.1000000000000001</v>
      </c>
      <c r="J390" s="31">
        <v>53.3</v>
      </c>
      <c r="K390" s="51">
        <f t="shared" ref="K390:K453" si="32">(J390-J402)/J402</f>
        <v>1.1193321950293992E-2</v>
      </c>
      <c r="L390" s="29">
        <f>5.4</f>
        <v>5.4</v>
      </c>
      <c r="M390" s="30">
        <v>5.4</v>
      </c>
      <c r="N390" s="29">
        <f>28.2</f>
        <v>28.2</v>
      </c>
      <c r="O390" s="29">
        <v>95118.399999999994</v>
      </c>
      <c r="P390" s="51">
        <f t="shared" si="30"/>
        <v>0.28234946767850649</v>
      </c>
      <c r="Q390" s="29">
        <f>7.3</f>
        <v>7.3</v>
      </c>
      <c r="R390" s="43">
        <v>24.5</v>
      </c>
      <c r="S390" s="32">
        <f t="shared" ref="S390:S453" si="33">(R390-R402)/R402</f>
        <v>7.4561403508771898E-2</v>
      </c>
      <c r="T390" s="54" t="e">
        <f>VLOOKUP(A390,[1]인포맥스!$A:$I,9,0)</f>
        <v>#N/A</v>
      </c>
      <c r="U390" s="70" t="e">
        <f t="shared" ref="U390:U453" si="34">(T390-T402)/T402</f>
        <v>#N/A</v>
      </c>
    </row>
    <row r="391" spans="1:21" x14ac:dyDescent="0.25">
      <c r="A391" s="3">
        <v>32539</v>
      </c>
      <c r="B391" s="29" t="e">
        <f>NA()</f>
        <v>#N/A</v>
      </c>
      <c r="C391" s="29" t="e">
        <v>#N/A</v>
      </c>
      <c r="D391" s="50">
        <f>54.7</f>
        <v>54.7</v>
      </c>
      <c r="E391" s="30">
        <v>54.7</v>
      </c>
      <c r="F391" s="29">
        <f>11.2</f>
        <v>11.2</v>
      </c>
      <c r="G391" s="31" t="e">
        <v>#N/A</v>
      </c>
      <c r="H391" s="51" t="e">
        <f t="shared" si="31"/>
        <v>#N/A</v>
      </c>
      <c r="I391" s="29">
        <f>1.5</f>
        <v>1.5</v>
      </c>
      <c r="J391" s="31">
        <v>53.19</v>
      </c>
      <c r="K391" s="51">
        <f t="shared" si="32"/>
        <v>1.4882655981682908E-2</v>
      </c>
      <c r="L391" s="29">
        <f>6.8</f>
        <v>6.8</v>
      </c>
      <c r="M391" s="30">
        <v>6.8</v>
      </c>
      <c r="N391" s="29">
        <f>28.3</f>
        <v>28.3</v>
      </c>
      <c r="O391" s="29">
        <v>94284.800000000003</v>
      </c>
      <c r="P391" s="51">
        <f t="shared" si="30"/>
        <v>0.28296793015610366</v>
      </c>
      <c r="Q391" s="29">
        <f>7.1</f>
        <v>7.1</v>
      </c>
      <c r="R391" s="43">
        <v>24.3</v>
      </c>
      <c r="S391" s="32">
        <f t="shared" si="33"/>
        <v>7.5221238938053062E-2</v>
      </c>
      <c r="T391" s="54" t="e">
        <f>VLOOKUP(A391,[1]인포맥스!$A:$I,9,0)</f>
        <v>#N/A</v>
      </c>
      <c r="U391" s="70" t="e">
        <f t="shared" si="34"/>
        <v>#N/A</v>
      </c>
    </row>
    <row r="392" spans="1:21" x14ac:dyDescent="0.25">
      <c r="A392" s="3">
        <v>32508</v>
      </c>
      <c r="B392" s="29" t="e">
        <f>NA()</f>
        <v>#N/A</v>
      </c>
      <c r="C392" s="29" t="e">
        <v>#N/A</v>
      </c>
      <c r="D392" s="50">
        <f>56</f>
        <v>56</v>
      </c>
      <c r="E392" s="30">
        <v>56</v>
      </c>
      <c r="F392" s="29">
        <f>22</f>
        <v>22</v>
      </c>
      <c r="G392" s="31" t="e">
        <v>#N/A</v>
      </c>
      <c r="H392" s="51" t="e">
        <f t="shared" si="31"/>
        <v>#N/A</v>
      </c>
      <c r="I392" s="29">
        <f>2.3</f>
        <v>2.2999999999999998</v>
      </c>
      <c r="J392" s="31">
        <v>53.3</v>
      </c>
      <c r="K392" s="51">
        <f t="shared" si="32"/>
        <v>2.3032629558541184E-2</v>
      </c>
      <c r="L392" s="29">
        <f>7.2</f>
        <v>7.2</v>
      </c>
      <c r="M392" s="30">
        <v>7.2</v>
      </c>
      <c r="N392" s="29">
        <f>30.3</f>
        <v>30.3</v>
      </c>
      <c r="O392" s="29">
        <v>92669.9</v>
      </c>
      <c r="P392" s="51">
        <f t="shared" si="30"/>
        <v>0.30269803716495941</v>
      </c>
      <c r="Q392" s="29">
        <f>6.8</f>
        <v>6.8</v>
      </c>
      <c r="R392" s="43">
        <v>24</v>
      </c>
      <c r="S392" s="32">
        <f t="shared" si="33"/>
        <v>6.6666666666666666E-2</v>
      </c>
      <c r="T392" s="54" t="e">
        <f>VLOOKUP(A392,[1]인포맥스!$A:$I,9,0)</f>
        <v>#N/A</v>
      </c>
      <c r="U392" s="70" t="e">
        <f t="shared" si="34"/>
        <v>#N/A</v>
      </c>
    </row>
    <row r="393" spans="1:21" x14ac:dyDescent="0.25">
      <c r="A393" s="3">
        <v>32477</v>
      </c>
      <c r="B393" s="29" t="e">
        <f>NA()</f>
        <v>#N/A</v>
      </c>
      <c r="C393" s="29" t="e">
        <v>#N/A</v>
      </c>
      <c r="D393" s="50">
        <f>55.6</f>
        <v>55.6</v>
      </c>
      <c r="E393" s="30">
        <v>55.6</v>
      </c>
      <c r="F393" s="29">
        <f>31.4</f>
        <v>31.4</v>
      </c>
      <c r="G393" s="31" t="e">
        <v>#N/A</v>
      </c>
      <c r="H393" s="51" t="e">
        <f t="shared" si="31"/>
        <v>#N/A</v>
      </c>
      <c r="I393" s="29">
        <f>3.1</f>
        <v>3.1</v>
      </c>
      <c r="J393" s="31">
        <v>53.03</v>
      </c>
      <c r="K393" s="51">
        <f t="shared" si="32"/>
        <v>3.0509133307423247E-2</v>
      </c>
      <c r="L393" s="29">
        <f>7.1</f>
        <v>7.1</v>
      </c>
      <c r="M393" s="30">
        <v>7.1</v>
      </c>
      <c r="N393" s="29">
        <f>32</f>
        <v>32</v>
      </c>
      <c r="O393" s="29">
        <v>89852.7</v>
      </c>
      <c r="P393" s="51">
        <f t="shared" si="30"/>
        <v>0.32048550081416471</v>
      </c>
      <c r="Q393" s="29">
        <f>7.1</f>
        <v>7.1</v>
      </c>
      <c r="R393" s="43">
        <v>23.9</v>
      </c>
      <c r="S393" s="32">
        <f t="shared" si="33"/>
        <v>7.1748878923766718E-2</v>
      </c>
      <c r="T393" s="54" t="e">
        <f>VLOOKUP(A393,[1]인포맥스!$A:$I,9,0)</f>
        <v>#N/A</v>
      </c>
      <c r="U393" s="70" t="e">
        <f t="shared" si="34"/>
        <v>#N/A</v>
      </c>
    </row>
    <row r="394" spans="1:21" x14ac:dyDescent="0.25">
      <c r="A394" s="3">
        <v>32447</v>
      </c>
      <c r="B394" s="29" t="e">
        <f>NA()</f>
        <v>#N/A</v>
      </c>
      <c r="C394" s="29" t="e">
        <v>#N/A</v>
      </c>
      <c r="D394" s="50">
        <f>55.4</f>
        <v>55.4</v>
      </c>
      <c r="E394" s="30">
        <v>55.4</v>
      </c>
      <c r="F394" s="29">
        <f>30.1</f>
        <v>30.1</v>
      </c>
      <c r="G394" s="31" t="e">
        <v>#N/A</v>
      </c>
      <c r="H394" s="51" t="e">
        <f t="shared" si="31"/>
        <v>#N/A</v>
      </c>
      <c r="I394" s="29">
        <f>2</f>
        <v>2</v>
      </c>
      <c r="J394" s="31">
        <v>52.71</v>
      </c>
      <c r="K394" s="51">
        <f t="shared" si="32"/>
        <v>1.9930340557275564E-2</v>
      </c>
      <c r="L394" s="29">
        <f>6.1</f>
        <v>6.1</v>
      </c>
      <c r="M394" s="30">
        <v>6.1</v>
      </c>
      <c r="N394" s="29">
        <f>30.9</f>
        <v>30.9</v>
      </c>
      <c r="O394" s="29">
        <v>88234</v>
      </c>
      <c r="P394" s="51">
        <f t="shared" si="30"/>
        <v>0.3087039775499883</v>
      </c>
      <c r="Q394" s="29">
        <f>7.6</f>
        <v>7.6</v>
      </c>
      <c r="R394" s="43">
        <v>23.9</v>
      </c>
      <c r="S394" s="32">
        <f t="shared" si="33"/>
        <v>8.1447963800904841E-2</v>
      </c>
      <c r="T394" s="54" t="e">
        <f>VLOOKUP(A394,[1]인포맥스!$A:$I,9,0)</f>
        <v>#N/A</v>
      </c>
      <c r="U394" s="70" t="e">
        <f t="shared" si="34"/>
        <v>#N/A</v>
      </c>
    </row>
    <row r="395" spans="1:21" x14ac:dyDescent="0.25">
      <c r="A395" s="3">
        <v>32416</v>
      </c>
      <c r="B395" s="29" t="e">
        <f>NA()</f>
        <v>#N/A</v>
      </c>
      <c r="C395" s="29" t="e">
        <v>#N/A</v>
      </c>
      <c r="D395" s="50">
        <f>54.5</f>
        <v>54.5</v>
      </c>
      <c r="E395" s="30">
        <v>54.5</v>
      </c>
      <c r="F395" s="29">
        <f>21.4</f>
        <v>21.4</v>
      </c>
      <c r="G395" s="31" t="e">
        <v>#N/A</v>
      </c>
      <c r="H395" s="51" t="e">
        <f t="shared" si="31"/>
        <v>#N/A</v>
      </c>
      <c r="I395" s="29">
        <f>2.4</f>
        <v>2.4</v>
      </c>
      <c r="J395" s="31">
        <v>53.03</v>
      </c>
      <c r="K395" s="51">
        <f t="shared" si="32"/>
        <v>2.414059482425647E-2</v>
      </c>
      <c r="L395" s="29">
        <f>6.5</f>
        <v>6.5</v>
      </c>
      <c r="M395" s="30">
        <v>6.5</v>
      </c>
      <c r="N395" s="29">
        <f>31.4</f>
        <v>31.4</v>
      </c>
      <c r="O395" s="29">
        <v>86817.5</v>
      </c>
      <c r="P395" s="51">
        <f t="shared" si="30"/>
        <v>0.31358163293096619</v>
      </c>
      <c r="Q395" s="29">
        <f>8.2</f>
        <v>8.1999999999999993</v>
      </c>
      <c r="R395" s="43">
        <v>23.8</v>
      </c>
      <c r="S395" s="32">
        <f t="shared" si="33"/>
        <v>8.6757990867580015E-2</v>
      </c>
      <c r="T395" s="54" t="e">
        <f>VLOOKUP(A395,[1]인포맥스!$A:$I,9,0)</f>
        <v>#N/A</v>
      </c>
      <c r="U395" s="70" t="e">
        <f t="shared" si="34"/>
        <v>#N/A</v>
      </c>
    </row>
    <row r="396" spans="1:21" x14ac:dyDescent="0.25">
      <c r="A396" s="3">
        <v>32386</v>
      </c>
      <c r="B396" s="29" t="e">
        <f>NA()</f>
        <v>#N/A</v>
      </c>
      <c r="C396" s="29" t="e">
        <v>#N/A</v>
      </c>
      <c r="D396" s="50">
        <f>56</f>
        <v>56</v>
      </c>
      <c r="E396" s="30">
        <v>56</v>
      </c>
      <c r="F396" s="29">
        <f>52.6</f>
        <v>52.6</v>
      </c>
      <c r="G396" s="31" t="e">
        <v>#N/A</v>
      </c>
      <c r="H396" s="51" t="e">
        <f t="shared" si="31"/>
        <v>#N/A</v>
      </c>
      <c r="I396" s="29">
        <f>3.2</f>
        <v>3.2</v>
      </c>
      <c r="J396" s="31">
        <v>53.19</v>
      </c>
      <c r="K396" s="51">
        <f t="shared" si="32"/>
        <v>3.2414596273291817E-2</v>
      </c>
      <c r="L396" s="29">
        <f>6.9</f>
        <v>6.9</v>
      </c>
      <c r="M396" s="30">
        <v>6.9</v>
      </c>
      <c r="N396" s="29">
        <f>31.8</f>
        <v>31.8</v>
      </c>
      <c r="O396" s="29">
        <v>84337.4</v>
      </c>
      <c r="P396" s="51">
        <f t="shared" si="30"/>
        <v>0.31848674203044447</v>
      </c>
      <c r="Q396" s="29">
        <f>8.3</f>
        <v>8.3000000000000007</v>
      </c>
      <c r="R396" s="43">
        <v>23.7</v>
      </c>
      <c r="S396" s="32">
        <f t="shared" si="33"/>
        <v>9.2165898617511524E-2</v>
      </c>
      <c r="T396" s="54" t="e">
        <f>VLOOKUP(A396,[1]인포맥스!$A:$I,9,0)</f>
        <v>#N/A</v>
      </c>
      <c r="U396" s="70" t="e">
        <f t="shared" si="34"/>
        <v>#N/A</v>
      </c>
    </row>
    <row r="397" spans="1:21" x14ac:dyDescent="0.25">
      <c r="A397" s="3">
        <v>32355</v>
      </c>
      <c r="B397" s="29" t="e">
        <f>NA()</f>
        <v>#N/A</v>
      </c>
      <c r="C397" s="29" t="e">
        <v>#N/A</v>
      </c>
      <c r="D397" s="50">
        <f>58.2</f>
        <v>58.2</v>
      </c>
      <c r="E397" s="30">
        <v>58.2</v>
      </c>
      <c r="F397" s="29">
        <f>23.2</f>
        <v>23.2</v>
      </c>
      <c r="G397" s="31" t="e">
        <v>#N/A</v>
      </c>
      <c r="H397" s="51" t="e">
        <f t="shared" si="31"/>
        <v>#N/A</v>
      </c>
      <c r="I397" s="29">
        <f>3.3</f>
        <v>3.3</v>
      </c>
      <c r="J397" s="31">
        <v>52.93</v>
      </c>
      <c r="K397" s="51">
        <f t="shared" si="32"/>
        <v>3.2579008973858792E-2</v>
      </c>
      <c r="L397" s="29">
        <f>7.9</f>
        <v>7.9</v>
      </c>
      <c r="M397" s="30">
        <v>7.9</v>
      </c>
      <c r="N397" s="29">
        <f>29.9</f>
        <v>29.9</v>
      </c>
      <c r="O397" s="29">
        <v>81603.600000000006</v>
      </c>
      <c r="P397" s="51">
        <f t="shared" si="30"/>
        <v>0.29924452900483223</v>
      </c>
      <c r="Q397" s="29">
        <f>8.1</f>
        <v>8.1</v>
      </c>
      <c r="R397" s="43">
        <v>23.5</v>
      </c>
      <c r="S397" s="32">
        <f t="shared" si="33"/>
        <v>8.7962962962962896E-2</v>
      </c>
      <c r="T397" s="54" t="e">
        <f>VLOOKUP(A397,[1]인포맥스!$A:$I,9,0)</f>
        <v>#N/A</v>
      </c>
      <c r="U397" s="70" t="e">
        <f t="shared" si="34"/>
        <v>#N/A</v>
      </c>
    </row>
    <row r="398" spans="1:21" x14ac:dyDescent="0.25">
      <c r="A398" s="3">
        <v>32324</v>
      </c>
      <c r="B398" s="29" t="e">
        <f>NA()</f>
        <v>#N/A</v>
      </c>
      <c r="C398" s="29" t="e">
        <v>#N/A</v>
      </c>
      <c r="D398" s="50">
        <f>59.3</f>
        <v>59.3</v>
      </c>
      <c r="E398" s="30">
        <v>59.3</v>
      </c>
      <c r="F398" s="29">
        <f>19.1</f>
        <v>19.100000000000001</v>
      </c>
      <c r="G398" s="31" t="e">
        <v>#N/A</v>
      </c>
      <c r="H398" s="51" t="e">
        <f t="shared" si="31"/>
        <v>#N/A</v>
      </c>
      <c r="I398" s="29">
        <f>2.8</f>
        <v>2.8</v>
      </c>
      <c r="J398" s="31">
        <v>52.71</v>
      </c>
      <c r="K398" s="51">
        <f t="shared" si="32"/>
        <v>2.8287163480296584E-2</v>
      </c>
      <c r="L398" s="29">
        <f>7.4</f>
        <v>7.4</v>
      </c>
      <c r="M398" s="30">
        <v>7.4</v>
      </c>
      <c r="N398" s="29">
        <f>29.8</f>
        <v>29.8</v>
      </c>
      <c r="O398" s="29">
        <v>80297.8</v>
      </c>
      <c r="P398" s="51">
        <f t="shared" si="30"/>
        <v>0.29794779617620254</v>
      </c>
      <c r="Q398" s="29">
        <f>8.1</f>
        <v>8.1</v>
      </c>
      <c r="R398" s="43">
        <v>23.3</v>
      </c>
      <c r="S398" s="32">
        <f t="shared" si="33"/>
        <v>8.878504672897207E-2</v>
      </c>
      <c r="T398" s="54" t="e">
        <f>VLOOKUP(A398,[1]인포맥스!$A:$I,9,0)</f>
        <v>#N/A</v>
      </c>
      <c r="U398" s="70" t="e">
        <f t="shared" si="34"/>
        <v>#N/A</v>
      </c>
    </row>
    <row r="399" spans="1:21" x14ac:dyDescent="0.25">
      <c r="A399" s="3">
        <v>32294</v>
      </c>
      <c r="B399" s="29" t="e">
        <f>NA()</f>
        <v>#N/A</v>
      </c>
      <c r="C399" s="29" t="e">
        <v>#N/A</v>
      </c>
      <c r="D399" s="50">
        <f>55.5</f>
        <v>55.5</v>
      </c>
      <c r="E399" s="30">
        <v>55.5</v>
      </c>
      <c r="F399" s="29">
        <f>18.5</f>
        <v>18.5</v>
      </c>
      <c r="G399" s="31" t="e">
        <v>#N/A</v>
      </c>
      <c r="H399" s="51" t="e">
        <f t="shared" si="31"/>
        <v>#N/A</v>
      </c>
      <c r="I399" s="29">
        <f>1.9</f>
        <v>1.9</v>
      </c>
      <c r="J399" s="31">
        <v>52.67</v>
      </c>
      <c r="K399" s="51">
        <f t="shared" si="32"/>
        <v>1.9156346749226043E-2</v>
      </c>
      <c r="L399" s="29">
        <f>6.6</f>
        <v>6.6</v>
      </c>
      <c r="M399" s="30">
        <v>6.6</v>
      </c>
      <c r="N399" s="29">
        <f>29</f>
        <v>29</v>
      </c>
      <c r="O399" s="29">
        <v>78183.3</v>
      </c>
      <c r="P399" s="51">
        <f t="shared" si="30"/>
        <v>0.28954912219355949</v>
      </c>
      <c r="Q399" s="29">
        <f>8.4</f>
        <v>8.4</v>
      </c>
      <c r="R399" s="43">
        <v>23.2</v>
      </c>
      <c r="S399" s="32">
        <f t="shared" si="33"/>
        <v>8.9201877934272228E-2</v>
      </c>
      <c r="T399" s="54" t="e">
        <f>VLOOKUP(A399,[1]인포맥스!$A:$I,9,0)</f>
        <v>#N/A</v>
      </c>
      <c r="U399" s="70" t="e">
        <f t="shared" si="34"/>
        <v>#N/A</v>
      </c>
    </row>
    <row r="400" spans="1:21" x14ac:dyDescent="0.25">
      <c r="A400" s="3">
        <v>32263</v>
      </c>
      <c r="B400" s="29" t="e">
        <f>NA()</f>
        <v>#N/A</v>
      </c>
      <c r="C400" s="29" t="e">
        <v>#N/A</v>
      </c>
      <c r="D400" s="50">
        <f>55.8</f>
        <v>55.8</v>
      </c>
      <c r="E400" s="30">
        <v>55.8</v>
      </c>
      <c r="F400" s="29">
        <f>26</f>
        <v>26</v>
      </c>
      <c r="G400" s="31" t="e">
        <v>#N/A</v>
      </c>
      <c r="H400" s="51" t="e">
        <f t="shared" si="31"/>
        <v>#N/A</v>
      </c>
      <c r="I400" s="29">
        <f>1.9</f>
        <v>1.9</v>
      </c>
      <c r="J400" s="31">
        <v>52.45</v>
      </c>
      <c r="K400" s="51">
        <f t="shared" si="32"/>
        <v>1.9238243295763739E-2</v>
      </c>
      <c r="L400" s="29">
        <f>7.7</f>
        <v>7.7</v>
      </c>
      <c r="M400" s="30">
        <v>7.7</v>
      </c>
      <c r="N400" s="29">
        <f>31.4</f>
        <v>31.4</v>
      </c>
      <c r="O400" s="29">
        <v>77444.2</v>
      </c>
      <c r="P400" s="51">
        <f t="shared" si="30"/>
        <v>0.31445156362710563</v>
      </c>
      <c r="Q400" s="29">
        <f>8.5</f>
        <v>8.5</v>
      </c>
      <c r="R400" s="43">
        <v>23</v>
      </c>
      <c r="S400" s="32">
        <f t="shared" si="33"/>
        <v>8.4905660377358527E-2</v>
      </c>
      <c r="T400" s="54" t="e">
        <f>VLOOKUP(A400,[1]인포맥스!$A:$I,9,0)</f>
        <v>#N/A</v>
      </c>
      <c r="U400" s="70" t="e">
        <f t="shared" si="34"/>
        <v>#N/A</v>
      </c>
    </row>
    <row r="401" spans="1:21" x14ac:dyDescent="0.25">
      <c r="A401" s="3">
        <v>32233</v>
      </c>
      <c r="B401" s="29" t="e">
        <f>NA()</f>
        <v>#N/A</v>
      </c>
      <c r="C401" s="29" t="e">
        <v>#N/A</v>
      </c>
      <c r="D401" s="50">
        <f>54.6</f>
        <v>54.6</v>
      </c>
      <c r="E401" s="30">
        <v>54.6</v>
      </c>
      <c r="F401" s="29">
        <f>31.2</f>
        <v>31.2</v>
      </c>
      <c r="G401" s="31" t="e">
        <v>#N/A</v>
      </c>
      <c r="H401" s="51" t="e">
        <f t="shared" si="31"/>
        <v>#N/A</v>
      </c>
      <c r="I401" s="29">
        <f>3</f>
        <v>3</v>
      </c>
      <c r="J401" s="31">
        <v>52.61</v>
      </c>
      <c r="K401" s="51">
        <f t="shared" si="32"/>
        <v>3.0356443399921603E-2</v>
      </c>
      <c r="L401" s="29">
        <f>8.5</f>
        <v>8.5</v>
      </c>
      <c r="M401" s="30">
        <v>8.5</v>
      </c>
      <c r="N401" s="29">
        <f>32.5</f>
        <v>32.5</v>
      </c>
      <c r="O401" s="29">
        <v>76071.899999999994</v>
      </c>
      <c r="P401" s="51">
        <f t="shared" si="30"/>
        <v>0.32534060420223693</v>
      </c>
      <c r="Q401" s="29">
        <f>8.6</f>
        <v>8.6</v>
      </c>
      <c r="R401" s="43">
        <v>22.9</v>
      </c>
      <c r="S401" s="32">
        <f t="shared" si="33"/>
        <v>9.0476190476190405E-2</v>
      </c>
      <c r="T401" s="54" t="e">
        <f>VLOOKUP(A401,[1]인포맥스!$A:$I,9,0)</f>
        <v>#N/A</v>
      </c>
      <c r="U401" s="70" t="e">
        <f t="shared" si="34"/>
        <v>#N/A</v>
      </c>
    </row>
    <row r="402" spans="1:21" x14ac:dyDescent="0.25">
      <c r="A402" s="3">
        <v>32202</v>
      </c>
      <c r="B402" s="29" t="e">
        <f>NA()</f>
        <v>#N/A</v>
      </c>
      <c r="C402" s="29" t="e">
        <v>#N/A</v>
      </c>
      <c r="D402" s="50">
        <f>56.2</f>
        <v>56.2</v>
      </c>
      <c r="E402" s="30">
        <v>56.2</v>
      </c>
      <c r="F402" s="29">
        <f>40.5</f>
        <v>40.5</v>
      </c>
      <c r="G402" s="31" t="e">
        <v>#N/A</v>
      </c>
      <c r="H402" s="51" t="e">
        <f t="shared" si="31"/>
        <v>#N/A</v>
      </c>
      <c r="I402" s="29">
        <f>3.6</f>
        <v>3.6</v>
      </c>
      <c r="J402" s="31">
        <v>52.71</v>
      </c>
      <c r="K402" s="51">
        <f t="shared" si="32"/>
        <v>3.5559921414538356E-2</v>
      </c>
      <c r="L402" s="29">
        <f>7.8</f>
        <v>7.8</v>
      </c>
      <c r="M402" s="30">
        <v>7.8</v>
      </c>
      <c r="N402" s="29">
        <f>33.6</f>
        <v>33.6</v>
      </c>
      <c r="O402" s="29">
        <v>74175.100000000006</v>
      </c>
      <c r="P402" s="51">
        <f t="shared" si="30"/>
        <v>0.3362643737175573</v>
      </c>
      <c r="Q402" s="29">
        <f>8.7</f>
        <v>8.6999999999999993</v>
      </c>
      <c r="R402" s="43">
        <v>22.8</v>
      </c>
      <c r="S402" s="32">
        <f t="shared" si="33"/>
        <v>9.0909090909091023E-2</v>
      </c>
      <c r="T402" s="54" t="e">
        <f>VLOOKUP(A402,[1]인포맥스!$A:$I,9,0)</f>
        <v>#N/A</v>
      </c>
      <c r="U402" s="70" t="e">
        <f t="shared" si="34"/>
        <v>#N/A</v>
      </c>
    </row>
    <row r="403" spans="1:21" x14ac:dyDescent="0.25">
      <c r="A403" s="3">
        <v>32173</v>
      </c>
      <c r="B403" s="29" t="e">
        <f>NA()</f>
        <v>#N/A</v>
      </c>
      <c r="C403" s="29" t="e">
        <v>#N/A</v>
      </c>
      <c r="D403" s="50">
        <f>57.5</f>
        <v>57.5</v>
      </c>
      <c r="E403" s="30">
        <v>57.5</v>
      </c>
      <c r="F403" s="29">
        <f>36.6</f>
        <v>36.6</v>
      </c>
      <c r="G403" s="31" t="e">
        <v>#N/A</v>
      </c>
      <c r="H403" s="51" t="e">
        <f t="shared" si="31"/>
        <v>#N/A</v>
      </c>
      <c r="I403" s="29">
        <f>3.2</f>
        <v>3.2</v>
      </c>
      <c r="J403" s="31">
        <v>52.41</v>
      </c>
      <c r="K403" s="51">
        <f t="shared" si="32"/>
        <v>3.1896042528056653E-2</v>
      </c>
      <c r="L403" s="29">
        <f>6.2</f>
        <v>6.2</v>
      </c>
      <c r="M403" s="30">
        <v>6.2</v>
      </c>
      <c r="N403" s="29">
        <f>34.8</f>
        <v>34.799999999999997</v>
      </c>
      <c r="O403" s="29">
        <v>73489.600000000006</v>
      </c>
      <c r="P403" s="51">
        <f t="shared" si="30"/>
        <v>0.34794826080895691</v>
      </c>
      <c r="Q403" s="29">
        <f>8.6</f>
        <v>8.6</v>
      </c>
      <c r="R403" s="43">
        <v>22.6</v>
      </c>
      <c r="S403" s="32">
        <f t="shared" si="33"/>
        <v>9.1787439613526672E-2</v>
      </c>
      <c r="T403" s="54" t="e">
        <f>VLOOKUP(A403,[1]인포맥스!$A:$I,9,0)</f>
        <v>#N/A</v>
      </c>
      <c r="U403" s="70" t="e">
        <f t="shared" si="34"/>
        <v>#N/A</v>
      </c>
    </row>
    <row r="404" spans="1:21" x14ac:dyDescent="0.25">
      <c r="A404" s="3">
        <v>32142</v>
      </c>
      <c r="B404" s="29" t="e">
        <f>NA()</f>
        <v>#N/A</v>
      </c>
      <c r="C404" s="29" t="e">
        <v>#N/A</v>
      </c>
      <c r="D404" s="50">
        <f>61</f>
        <v>61</v>
      </c>
      <c r="E404" s="30">
        <v>61</v>
      </c>
      <c r="F404" s="29">
        <f>50.4</f>
        <v>50.4</v>
      </c>
      <c r="G404" s="31" t="e">
        <v>#N/A</v>
      </c>
      <c r="H404" s="51" t="e">
        <f t="shared" si="31"/>
        <v>#N/A</v>
      </c>
      <c r="I404" s="29">
        <f>2.7</f>
        <v>2.7</v>
      </c>
      <c r="J404" s="31">
        <v>52.1</v>
      </c>
      <c r="K404" s="51">
        <f t="shared" si="32"/>
        <v>2.6803310997240825E-2</v>
      </c>
      <c r="L404" s="29">
        <f>6.1</f>
        <v>6.1</v>
      </c>
      <c r="M404" s="30">
        <v>6.1</v>
      </c>
      <c r="N404" s="29">
        <f>32.3</f>
        <v>32.299999999999997</v>
      </c>
      <c r="O404" s="29">
        <v>71136.899999999994</v>
      </c>
      <c r="P404" s="51">
        <f t="shared" si="30"/>
        <v>0.32339103500237182</v>
      </c>
      <c r="Q404" s="29">
        <f>8.7</f>
        <v>8.6999999999999993</v>
      </c>
      <c r="R404" s="43">
        <v>22.5</v>
      </c>
      <c r="S404" s="32">
        <f t="shared" si="33"/>
        <v>9.2233009708737795E-2</v>
      </c>
      <c r="T404" s="54" t="e">
        <f>VLOOKUP(A404,[1]인포맥스!$A:$I,9,0)</f>
        <v>#N/A</v>
      </c>
      <c r="U404" s="70" t="e">
        <f t="shared" si="34"/>
        <v>#N/A</v>
      </c>
    </row>
    <row r="405" spans="1:21" x14ac:dyDescent="0.25">
      <c r="A405" s="3">
        <v>32111</v>
      </c>
      <c r="B405" s="29" t="e">
        <f>NA()</f>
        <v>#N/A</v>
      </c>
      <c r="C405" s="29" t="e">
        <v>#N/A</v>
      </c>
      <c r="D405" s="50">
        <f>58.8</f>
        <v>58.8</v>
      </c>
      <c r="E405" s="30">
        <v>58.8</v>
      </c>
      <c r="F405" s="29">
        <f>35.8</f>
        <v>35.799999999999997</v>
      </c>
      <c r="G405" s="31" t="e">
        <v>#N/A</v>
      </c>
      <c r="H405" s="51" t="e">
        <f t="shared" si="31"/>
        <v>#N/A</v>
      </c>
      <c r="I405" s="29">
        <f>1.5</f>
        <v>1.5</v>
      </c>
      <c r="J405" s="31">
        <v>51.46</v>
      </c>
      <c r="K405" s="51">
        <f t="shared" si="32"/>
        <v>1.5190372854606494E-2</v>
      </c>
      <c r="L405" s="29">
        <f>5.2</f>
        <v>5.2</v>
      </c>
      <c r="M405" s="30">
        <v>5.2</v>
      </c>
      <c r="N405" s="29">
        <f>30</f>
        <v>30</v>
      </c>
      <c r="O405" s="29">
        <v>68045.2</v>
      </c>
      <c r="P405" s="51">
        <f t="shared" si="30"/>
        <v>0.30000649571473881</v>
      </c>
      <c r="Q405" s="29">
        <f>8.5</f>
        <v>8.5</v>
      </c>
      <c r="R405" s="43">
        <v>22.3</v>
      </c>
      <c r="S405" s="32">
        <f t="shared" si="33"/>
        <v>8.7804878048780524E-2</v>
      </c>
      <c r="T405" s="54" t="e">
        <f>VLOOKUP(A405,[1]인포맥스!$A:$I,9,0)</f>
        <v>#N/A</v>
      </c>
      <c r="U405" s="70" t="e">
        <f t="shared" si="34"/>
        <v>#N/A</v>
      </c>
    </row>
    <row r="406" spans="1:21" x14ac:dyDescent="0.25">
      <c r="A406" s="3">
        <v>32081</v>
      </c>
      <c r="B406" s="29" t="e">
        <f>NA()</f>
        <v>#N/A</v>
      </c>
      <c r="C406" s="29" t="e">
        <v>#N/A</v>
      </c>
      <c r="D406" s="50">
        <f>60.7</f>
        <v>60.7</v>
      </c>
      <c r="E406" s="30">
        <v>60.7</v>
      </c>
      <c r="F406" s="29">
        <f>23.7</f>
        <v>23.7</v>
      </c>
      <c r="G406" s="31" t="e">
        <v>#N/A</v>
      </c>
      <c r="H406" s="51" t="e">
        <f t="shared" si="31"/>
        <v>#N/A</v>
      </c>
      <c r="I406" s="29">
        <f>1.9</f>
        <v>1.9</v>
      </c>
      <c r="J406" s="31">
        <v>51.68</v>
      </c>
      <c r="K406" s="51">
        <f t="shared" si="32"/>
        <v>1.852581789515171E-2</v>
      </c>
      <c r="L406" s="29">
        <f>5.2</f>
        <v>5.2</v>
      </c>
      <c r="M406" s="30">
        <v>5.2</v>
      </c>
      <c r="N406" s="29">
        <f>31.2</f>
        <v>31.2</v>
      </c>
      <c r="O406" s="29">
        <v>67420.899999999994</v>
      </c>
      <c r="P406" s="51">
        <f t="shared" si="30"/>
        <v>0.3115248071741899</v>
      </c>
      <c r="Q406" s="29">
        <f>8.2</f>
        <v>8.1999999999999993</v>
      </c>
      <c r="R406" s="43">
        <v>22.1</v>
      </c>
      <c r="S406" s="32">
        <f t="shared" si="33"/>
        <v>8.8669950738916287E-2</v>
      </c>
      <c r="T406" s="54" t="e">
        <f>VLOOKUP(A406,[1]인포맥스!$A:$I,9,0)</f>
        <v>#N/A</v>
      </c>
      <c r="U406" s="70" t="e">
        <f t="shared" si="34"/>
        <v>#N/A</v>
      </c>
    </row>
    <row r="407" spans="1:21" x14ac:dyDescent="0.25">
      <c r="A407" s="3">
        <v>32050</v>
      </c>
      <c r="B407" s="29" t="e">
        <f>NA()</f>
        <v>#N/A</v>
      </c>
      <c r="C407" s="29" t="e">
        <v>#N/A</v>
      </c>
      <c r="D407" s="50">
        <f>60</f>
        <v>60</v>
      </c>
      <c r="E407" s="30">
        <v>60</v>
      </c>
      <c r="F407" s="29">
        <f>39.5</f>
        <v>39.5</v>
      </c>
      <c r="G407" s="31" t="e">
        <v>#N/A</v>
      </c>
      <c r="H407" s="51" t="e">
        <f t="shared" si="31"/>
        <v>#N/A</v>
      </c>
      <c r="I407" s="29">
        <f>1.1</f>
        <v>1.1000000000000001</v>
      </c>
      <c r="J407" s="31">
        <v>51.78</v>
      </c>
      <c r="K407" s="51">
        <f t="shared" si="32"/>
        <v>1.1328124999999967E-2</v>
      </c>
      <c r="L407" s="29">
        <f>4.1</f>
        <v>4.0999999999999996</v>
      </c>
      <c r="M407" s="30">
        <v>4.0999999999999996</v>
      </c>
      <c r="N407" s="29">
        <f>30.2</f>
        <v>30.2</v>
      </c>
      <c r="O407" s="29">
        <v>66092.2</v>
      </c>
      <c r="P407" s="51">
        <f t="shared" si="30"/>
        <v>0.30247361243585397</v>
      </c>
      <c r="Q407" s="29">
        <f>8.1</f>
        <v>8.1</v>
      </c>
      <c r="R407" s="43">
        <v>21.9</v>
      </c>
      <c r="S407" s="32">
        <f t="shared" si="33"/>
        <v>8.4158415841584122E-2</v>
      </c>
      <c r="T407" s="54" t="e">
        <f>VLOOKUP(A407,[1]인포맥스!$A:$I,9,0)</f>
        <v>#N/A</v>
      </c>
      <c r="U407" s="70" t="e">
        <f t="shared" si="34"/>
        <v>#N/A</v>
      </c>
    </row>
    <row r="408" spans="1:21" x14ac:dyDescent="0.25">
      <c r="A408" s="3">
        <v>32020</v>
      </c>
      <c r="B408" s="29" t="e">
        <f>NA()</f>
        <v>#N/A</v>
      </c>
      <c r="C408" s="29" t="e">
        <v>#N/A</v>
      </c>
      <c r="D408" s="50">
        <f>59.3</f>
        <v>59.3</v>
      </c>
      <c r="E408" s="30">
        <v>59.3</v>
      </c>
      <c r="F408" s="29">
        <f>17.9</f>
        <v>17.899999999999999</v>
      </c>
      <c r="G408" s="31" t="e">
        <v>#N/A</v>
      </c>
      <c r="H408" s="51" t="e">
        <f t="shared" si="31"/>
        <v>#N/A</v>
      </c>
      <c r="I408" s="29">
        <f>0.9</f>
        <v>0.9</v>
      </c>
      <c r="J408" s="31">
        <v>51.52</v>
      </c>
      <c r="K408" s="51">
        <f t="shared" si="32"/>
        <v>9.0090090090090245E-3</v>
      </c>
      <c r="L408" s="29">
        <f>4</f>
        <v>4</v>
      </c>
      <c r="M408" s="30">
        <v>4</v>
      </c>
      <c r="N408" s="29">
        <f>30.5</f>
        <v>30.5</v>
      </c>
      <c r="O408" s="29">
        <v>63965.3</v>
      </c>
      <c r="P408" s="51">
        <f t="shared" si="30"/>
        <v>0.30467940506979752</v>
      </c>
      <c r="Q408" s="29">
        <f>8</f>
        <v>8</v>
      </c>
      <c r="R408" s="43">
        <v>21.7</v>
      </c>
      <c r="S408" s="32">
        <f t="shared" si="33"/>
        <v>8.4999999999999964E-2</v>
      </c>
      <c r="T408" s="54" t="e">
        <f>VLOOKUP(A408,[1]인포맥스!$A:$I,9,0)</f>
        <v>#N/A</v>
      </c>
      <c r="U408" s="70" t="e">
        <f t="shared" si="34"/>
        <v>#N/A</v>
      </c>
    </row>
    <row r="409" spans="1:21" x14ac:dyDescent="0.25">
      <c r="A409" s="3">
        <v>31989</v>
      </c>
      <c r="B409" s="29" t="e">
        <f>NA()</f>
        <v>#N/A</v>
      </c>
      <c r="C409" s="29" t="e">
        <v>#N/A</v>
      </c>
      <c r="D409" s="50">
        <f>57.5</f>
        <v>57.5</v>
      </c>
      <c r="E409" s="30">
        <v>57.5</v>
      </c>
      <c r="F409" s="29">
        <f>44.2</f>
        <v>44.2</v>
      </c>
      <c r="G409" s="31" t="e">
        <v>#N/A</v>
      </c>
      <c r="H409" s="51" t="e">
        <f t="shared" si="31"/>
        <v>#N/A</v>
      </c>
      <c r="I409" s="29">
        <f>0.4</f>
        <v>0.4</v>
      </c>
      <c r="J409" s="31">
        <v>51.26</v>
      </c>
      <c r="K409" s="51">
        <f t="shared" si="32"/>
        <v>3.9169604386994853E-3</v>
      </c>
      <c r="L409" s="29">
        <f>2.4</f>
        <v>2.4</v>
      </c>
      <c r="M409" s="30">
        <v>2.4</v>
      </c>
      <c r="N409" s="29">
        <f>31</f>
        <v>31</v>
      </c>
      <c r="O409" s="29">
        <v>62808.5</v>
      </c>
      <c r="P409" s="51">
        <f t="shared" si="30"/>
        <v>0.30958263745107983</v>
      </c>
      <c r="Q409" s="29">
        <f>8.2</f>
        <v>8.1999999999999993</v>
      </c>
      <c r="R409" s="43">
        <v>21.6</v>
      </c>
      <c r="S409" s="32">
        <f t="shared" si="33"/>
        <v>8.5427135678392108E-2</v>
      </c>
      <c r="T409" s="54" t="e">
        <f>VLOOKUP(A409,[1]인포맥스!$A:$I,9,0)</f>
        <v>#N/A</v>
      </c>
      <c r="U409" s="70" t="e">
        <f t="shared" si="34"/>
        <v>#N/A</v>
      </c>
    </row>
    <row r="410" spans="1:21" x14ac:dyDescent="0.25">
      <c r="A410" s="3">
        <v>31958</v>
      </c>
      <c r="B410" s="29" t="e">
        <f>NA()</f>
        <v>#N/A</v>
      </c>
      <c r="C410" s="29" t="e">
        <v>#N/A</v>
      </c>
      <c r="D410" s="50">
        <f>57.4</f>
        <v>57.4</v>
      </c>
      <c r="E410" s="30">
        <v>57.4</v>
      </c>
      <c r="F410" s="29">
        <f>33</f>
        <v>33</v>
      </c>
      <c r="G410" s="31" t="e">
        <v>#N/A</v>
      </c>
      <c r="H410" s="51" t="e">
        <f t="shared" si="31"/>
        <v>#N/A</v>
      </c>
      <c r="I410" s="29">
        <f>0.5</f>
        <v>0.5</v>
      </c>
      <c r="J410" s="31">
        <v>51.26</v>
      </c>
      <c r="K410" s="51">
        <f t="shared" si="32"/>
        <v>4.9009998039600084E-3</v>
      </c>
      <c r="L410" s="29">
        <f>2.8</f>
        <v>2.8</v>
      </c>
      <c r="M410" s="30">
        <v>2.8</v>
      </c>
      <c r="N410" s="29">
        <f>31.5</f>
        <v>31.5</v>
      </c>
      <c r="O410" s="29">
        <v>61865.2</v>
      </c>
      <c r="P410" s="51">
        <f t="shared" si="30"/>
        <v>0.31506371762305097</v>
      </c>
      <c r="Q410" s="29">
        <f>8.2</f>
        <v>8.1999999999999993</v>
      </c>
      <c r="R410" s="43">
        <v>21.4</v>
      </c>
      <c r="S410" s="32">
        <f t="shared" si="33"/>
        <v>8.629441624365479E-2</v>
      </c>
      <c r="T410" s="54" t="e">
        <f>VLOOKUP(A410,[1]인포맥스!$A:$I,9,0)</f>
        <v>#N/A</v>
      </c>
      <c r="U410" s="70" t="e">
        <f t="shared" si="34"/>
        <v>#N/A</v>
      </c>
    </row>
    <row r="411" spans="1:21" x14ac:dyDescent="0.25">
      <c r="A411" s="3">
        <v>31928</v>
      </c>
      <c r="B411" s="29" t="e">
        <f>NA()</f>
        <v>#N/A</v>
      </c>
      <c r="C411" s="29" t="e">
        <v>#N/A</v>
      </c>
      <c r="D411" s="50">
        <f>57.2</f>
        <v>57.2</v>
      </c>
      <c r="E411" s="30">
        <v>57.2</v>
      </c>
      <c r="F411" s="29">
        <f>34.6</f>
        <v>34.6</v>
      </c>
      <c r="G411" s="31" t="e">
        <v>#N/A</v>
      </c>
      <c r="H411" s="51" t="e">
        <f t="shared" si="31"/>
        <v>#N/A</v>
      </c>
      <c r="I411" s="29">
        <f>1</f>
        <v>1</v>
      </c>
      <c r="J411" s="31">
        <v>51.68</v>
      </c>
      <c r="K411" s="51">
        <f t="shared" si="32"/>
        <v>9.966777408637835E-3</v>
      </c>
      <c r="L411" s="29">
        <f>2.7</f>
        <v>2.7</v>
      </c>
      <c r="M411" s="30">
        <v>2.7</v>
      </c>
      <c r="N411" s="29">
        <f>31.2</f>
        <v>31.2</v>
      </c>
      <c r="O411" s="29">
        <v>60628.4</v>
      </c>
      <c r="P411" s="51">
        <f t="shared" si="30"/>
        <v>0.31237404621462206</v>
      </c>
      <c r="Q411" s="29">
        <f>8.5</f>
        <v>8.5</v>
      </c>
      <c r="R411" s="43">
        <v>21.3</v>
      </c>
      <c r="S411" s="32">
        <f t="shared" si="33"/>
        <v>8.6734693877550978E-2</v>
      </c>
      <c r="T411" s="54" t="e">
        <f>VLOOKUP(A411,[1]인포맥스!$A:$I,9,0)</f>
        <v>#N/A</v>
      </c>
      <c r="U411" s="70" t="e">
        <f t="shared" si="34"/>
        <v>#N/A</v>
      </c>
    </row>
    <row r="412" spans="1:21" x14ac:dyDescent="0.25">
      <c r="A412" s="3">
        <v>31897</v>
      </c>
      <c r="B412" s="29" t="e">
        <f>NA()</f>
        <v>#N/A</v>
      </c>
      <c r="C412" s="29" t="e">
        <v>#N/A</v>
      </c>
      <c r="D412" s="50">
        <f>55.5</f>
        <v>55.5</v>
      </c>
      <c r="E412" s="30">
        <v>55.5</v>
      </c>
      <c r="F412" s="29">
        <f>43.6</f>
        <v>43.6</v>
      </c>
      <c r="G412" s="31" t="e">
        <v>#N/A</v>
      </c>
      <c r="H412" s="51" t="e">
        <f t="shared" si="31"/>
        <v>#N/A</v>
      </c>
      <c r="I412" s="29">
        <f>0.7</f>
        <v>0.7</v>
      </c>
      <c r="J412" s="31">
        <v>51.46</v>
      </c>
      <c r="K412" s="51">
        <f t="shared" si="32"/>
        <v>6.8479749559773317E-3</v>
      </c>
      <c r="L412" s="29">
        <f>1.8</f>
        <v>1.8</v>
      </c>
      <c r="M412" s="30">
        <v>1.8</v>
      </c>
      <c r="N412" s="29">
        <f>30.4</f>
        <v>30.4</v>
      </c>
      <c r="O412" s="29">
        <v>58917.5</v>
      </c>
      <c r="P412" s="51">
        <f t="shared" si="30"/>
        <v>0.30381046589080907</v>
      </c>
      <c r="Q412" s="29">
        <f>8.7</f>
        <v>8.6999999999999993</v>
      </c>
      <c r="R412" s="43">
        <v>21.2</v>
      </c>
      <c r="S412" s="32">
        <f t="shared" si="33"/>
        <v>9.278350515463922E-2</v>
      </c>
      <c r="T412" s="54" t="e">
        <f>VLOOKUP(A412,[1]인포맥스!$A:$I,9,0)</f>
        <v>#N/A</v>
      </c>
      <c r="U412" s="70" t="e">
        <f t="shared" si="34"/>
        <v>#N/A</v>
      </c>
    </row>
    <row r="413" spans="1:21" x14ac:dyDescent="0.25">
      <c r="A413" s="3">
        <v>31867</v>
      </c>
      <c r="B413" s="29" t="e">
        <f>NA()</f>
        <v>#N/A</v>
      </c>
      <c r="C413" s="29" t="e">
        <v>#N/A</v>
      </c>
      <c r="D413" s="50">
        <f>55</f>
        <v>55</v>
      </c>
      <c r="E413" s="30">
        <v>55</v>
      </c>
      <c r="F413" s="29">
        <f>42.4</f>
        <v>42.4</v>
      </c>
      <c r="G413" s="31" t="e">
        <v>#N/A</v>
      </c>
      <c r="H413" s="51" t="e">
        <f t="shared" si="31"/>
        <v>#N/A</v>
      </c>
      <c r="I413" s="29">
        <f>-0.6</f>
        <v>-0.6</v>
      </c>
      <c r="J413" s="31">
        <v>51.06</v>
      </c>
      <c r="K413" s="51">
        <f t="shared" si="32"/>
        <v>-6.0346505742650417E-3</v>
      </c>
      <c r="L413" s="29">
        <f>1.1</f>
        <v>1.1000000000000001</v>
      </c>
      <c r="M413" s="30">
        <v>1.1000000000000001</v>
      </c>
      <c r="N413" s="29">
        <f>27.6</f>
        <v>27.6</v>
      </c>
      <c r="O413" s="29">
        <v>57398</v>
      </c>
      <c r="P413" s="51">
        <f t="shared" si="30"/>
        <v>0.28732301495275542</v>
      </c>
      <c r="Q413" s="29">
        <f>9</f>
        <v>9</v>
      </c>
      <c r="R413" s="43">
        <v>21</v>
      </c>
      <c r="S413" s="32">
        <f t="shared" si="33"/>
        <v>9.3750000000000042E-2</v>
      </c>
      <c r="T413" s="54" t="e">
        <f>VLOOKUP(A413,[1]인포맥스!$A:$I,9,0)</f>
        <v>#N/A</v>
      </c>
      <c r="U413" s="70" t="e">
        <f t="shared" si="34"/>
        <v>#N/A</v>
      </c>
    </row>
    <row r="414" spans="1:21" x14ac:dyDescent="0.25">
      <c r="A414" s="3">
        <v>31836</v>
      </c>
      <c r="B414" s="29" t="e">
        <f>NA()</f>
        <v>#N/A</v>
      </c>
      <c r="C414" s="29" t="e">
        <v>#N/A</v>
      </c>
      <c r="D414" s="50">
        <f>52.6</f>
        <v>52.6</v>
      </c>
      <c r="E414" s="30">
        <v>52.6</v>
      </c>
      <c r="F414" s="29">
        <f>27.3</f>
        <v>27.3</v>
      </c>
      <c r="G414" s="31" t="e">
        <v>#N/A</v>
      </c>
      <c r="H414" s="51" t="e">
        <f t="shared" si="31"/>
        <v>#N/A</v>
      </c>
      <c r="I414" s="29">
        <f>-1.8</f>
        <v>-1.8</v>
      </c>
      <c r="J414" s="31">
        <v>50.9</v>
      </c>
      <c r="K414" s="51">
        <f t="shared" si="32"/>
        <v>-1.8132716049382807E-2</v>
      </c>
      <c r="L414" s="29">
        <f>0.5</f>
        <v>0.5</v>
      </c>
      <c r="M414" s="30">
        <v>0.5</v>
      </c>
      <c r="N414" s="29">
        <f>27.6</f>
        <v>27.6</v>
      </c>
      <c r="O414" s="29">
        <v>55509.3</v>
      </c>
      <c r="P414" s="51">
        <f t="shared" si="30"/>
        <v>0.2762988476147557</v>
      </c>
      <c r="Q414" s="29">
        <f>9</f>
        <v>9</v>
      </c>
      <c r="R414" s="43">
        <v>20.9</v>
      </c>
      <c r="S414" s="32">
        <f t="shared" si="33"/>
        <v>9.9999999999999922E-2</v>
      </c>
      <c r="T414" s="54" t="e">
        <f>VLOOKUP(A414,[1]인포맥스!$A:$I,9,0)</f>
        <v>#N/A</v>
      </c>
      <c r="U414" s="70" t="e">
        <f t="shared" si="34"/>
        <v>#N/A</v>
      </c>
    </row>
    <row r="415" spans="1:21" x14ac:dyDescent="0.25">
      <c r="A415" s="3">
        <v>31808</v>
      </c>
      <c r="B415" s="29" t="e">
        <f>NA()</f>
        <v>#N/A</v>
      </c>
      <c r="C415" s="29" t="e">
        <v>#N/A</v>
      </c>
      <c r="D415" s="50">
        <f>54.9</f>
        <v>54.9</v>
      </c>
      <c r="E415" s="30">
        <v>54.9</v>
      </c>
      <c r="F415" s="29">
        <f>43</f>
        <v>43</v>
      </c>
      <c r="G415" s="31" t="e">
        <v>#N/A</v>
      </c>
      <c r="H415" s="51" t="e">
        <f t="shared" si="31"/>
        <v>#N/A</v>
      </c>
      <c r="I415" s="29">
        <f>-2.7</f>
        <v>-2.7</v>
      </c>
      <c r="J415" s="31">
        <v>50.79</v>
      </c>
      <c r="K415" s="51">
        <f t="shared" si="32"/>
        <v>-2.7011494252873632E-2</v>
      </c>
      <c r="L415" s="29">
        <f>0.9</f>
        <v>0.9</v>
      </c>
      <c r="M415" s="30">
        <v>0.9</v>
      </c>
      <c r="N415" s="29">
        <f>26.4</f>
        <v>26.4</v>
      </c>
      <c r="O415" s="29">
        <v>54519.6</v>
      </c>
      <c r="P415" s="51">
        <f t="shared" si="30"/>
        <v>0.26397054732273678</v>
      </c>
      <c r="Q415" s="29">
        <f>9</f>
        <v>9</v>
      </c>
      <c r="R415" s="43">
        <v>20.7</v>
      </c>
      <c r="S415" s="32">
        <f t="shared" si="33"/>
        <v>9.5238095238095288E-2</v>
      </c>
      <c r="T415" s="54" t="e">
        <f>VLOOKUP(A415,[1]인포맥스!$A:$I,9,0)</f>
        <v>#N/A</v>
      </c>
      <c r="U415" s="70" t="e">
        <f t="shared" si="34"/>
        <v>#N/A</v>
      </c>
    </row>
    <row r="416" spans="1:21" x14ac:dyDescent="0.25">
      <c r="A416" s="3">
        <v>31777</v>
      </c>
      <c r="B416" s="29" t="e">
        <f>NA()</f>
        <v>#N/A</v>
      </c>
      <c r="C416" s="29" t="e">
        <v>#N/A</v>
      </c>
      <c r="D416" s="50">
        <f>50.5</f>
        <v>50.5</v>
      </c>
      <c r="E416" s="30">
        <v>50.5</v>
      </c>
      <c r="F416" s="29">
        <f>-8.3</f>
        <v>-8.3000000000000007</v>
      </c>
      <c r="G416" s="31" t="e">
        <v>#N/A</v>
      </c>
      <c r="H416" s="51" t="e">
        <f t="shared" si="31"/>
        <v>#N/A</v>
      </c>
      <c r="I416" s="29">
        <f>-2.6</f>
        <v>-2.6</v>
      </c>
      <c r="J416" s="31">
        <v>50.74</v>
      </c>
      <c r="K416" s="51">
        <f t="shared" si="32"/>
        <v>-2.6103646833013423E-2</v>
      </c>
      <c r="L416" s="29">
        <f>1.4</f>
        <v>1.4</v>
      </c>
      <c r="M416" s="30">
        <v>1.4</v>
      </c>
      <c r="N416" s="29" t="e">
        <f>NA()</f>
        <v>#N/A</v>
      </c>
      <c r="O416" s="29">
        <v>53753.5</v>
      </c>
      <c r="P416" s="51" t="e">
        <f t="shared" si="30"/>
        <v>#N/A</v>
      </c>
      <c r="Q416" s="29">
        <f>9.4</f>
        <v>9.4</v>
      </c>
      <c r="R416" s="43">
        <v>20.6</v>
      </c>
      <c r="S416" s="32">
        <f t="shared" si="33"/>
        <v>0.10160427807486642</v>
      </c>
      <c r="T416" s="54" t="e">
        <f>VLOOKUP(A416,[1]인포맥스!$A:$I,9,0)</f>
        <v>#N/A</v>
      </c>
      <c r="U416" s="70" t="e">
        <f t="shared" si="34"/>
        <v>#N/A</v>
      </c>
    </row>
    <row r="417" spans="1:21" x14ac:dyDescent="0.25">
      <c r="A417" s="3">
        <v>31746</v>
      </c>
      <c r="B417" s="29" t="e">
        <f>NA()</f>
        <v>#N/A</v>
      </c>
      <c r="C417" s="29" t="e">
        <v>#N/A</v>
      </c>
      <c r="D417" s="50">
        <f>51.2</f>
        <v>51.2</v>
      </c>
      <c r="E417" s="30">
        <v>51.2</v>
      </c>
      <c r="F417" s="29">
        <f>6.1</f>
        <v>6.1</v>
      </c>
      <c r="G417" s="31" t="e">
        <v>#N/A</v>
      </c>
      <c r="H417" s="51" t="e">
        <f t="shared" si="31"/>
        <v>#N/A</v>
      </c>
      <c r="I417" s="29">
        <f>-2.2</f>
        <v>-2.2000000000000002</v>
      </c>
      <c r="J417" s="31">
        <v>50.69</v>
      </c>
      <c r="K417" s="51">
        <f t="shared" si="32"/>
        <v>-2.2183641975308751E-2</v>
      </c>
      <c r="L417" s="29">
        <f>2</f>
        <v>2</v>
      </c>
      <c r="M417" s="30">
        <v>2</v>
      </c>
      <c r="N417" s="29" t="e">
        <f>NA()</f>
        <v>#N/A</v>
      </c>
      <c r="O417" s="29">
        <v>52342.2</v>
      </c>
      <c r="P417" s="51" t="e">
        <f t="shared" si="30"/>
        <v>#N/A</v>
      </c>
      <c r="Q417" s="29">
        <f>9.6</f>
        <v>9.6</v>
      </c>
      <c r="R417" s="43">
        <v>20.5</v>
      </c>
      <c r="S417" s="32">
        <f t="shared" si="33"/>
        <v>0.10810810810810811</v>
      </c>
      <c r="T417" s="54" t="e">
        <f>VLOOKUP(A417,[1]인포맥스!$A:$I,9,0)</f>
        <v>#N/A</v>
      </c>
      <c r="U417" s="70" t="e">
        <f t="shared" si="34"/>
        <v>#N/A</v>
      </c>
    </row>
    <row r="418" spans="1:21" x14ac:dyDescent="0.25">
      <c r="A418" s="3">
        <v>31716</v>
      </c>
      <c r="B418" s="29" t="e">
        <f>NA()</f>
        <v>#N/A</v>
      </c>
      <c r="C418" s="29" t="e">
        <v>#N/A</v>
      </c>
      <c r="D418" s="50">
        <f>51.2</f>
        <v>51.2</v>
      </c>
      <c r="E418" s="30">
        <v>51.2</v>
      </c>
      <c r="F418" s="29">
        <f>22.7</f>
        <v>22.7</v>
      </c>
      <c r="G418" s="31" t="e">
        <v>#N/A</v>
      </c>
      <c r="H418" s="51" t="e">
        <f t="shared" si="31"/>
        <v>#N/A</v>
      </c>
      <c r="I418" s="29">
        <f>-2.7</f>
        <v>-2.7</v>
      </c>
      <c r="J418" s="31">
        <v>50.74</v>
      </c>
      <c r="K418" s="51">
        <f t="shared" si="32"/>
        <v>-2.7037392138063214E-2</v>
      </c>
      <c r="L418" s="29">
        <f>1</f>
        <v>1</v>
      </c>
      <c r="M418" s="30">
        <v>1</v>
      </c>
      <c r="N418" s="29" t="e">
        <f>NA()</f>
        <v>#N/A</v>
      </c>
      <c r="O418" s="29">
        <v>51406.5</v>
      </c>
      <c r="P418" s="51" t="e">
        <f t="shared" si="30"/>
        <v>#N/A</v>
      </c>
      <c r="Q418" s="29">
        <f>9.9</f>
        <v>9.9</v>
      </c>
      <c r="R418" s="43">
        <v>20.3</v>
      </c>
      <c r="S418" s="32">
        <f t="shared" si="33"/>
        <v>0.10326086956521752</v>
      </c>
      <c r="T418" s="54" t="e">
        <f>VLOOKUP(A418,[1]인포맥스!$A:$I,9,0)</f>
        <v>#N/A</v>
      </c>
      <c r="U418" s="70" t="e">
        <f t="shared" si="34"/>
        <v>#N/A</v>
      </c>
    </row>
    <row r="419" spans="1:21" x14ac:dyDescent="0.25">
      <c r="A419" s="3">
        <v>31685</v>
      </c>
      <c r="B419" s="29" t="e">
        <f>NA()</f>
        <v>#N/A</v>
      </c>
      <c r="C419" s="29" t="e">
        <v>#N/A</v>
      </c>
      <c r="D419" s="50">
        <f>52.4</f>
        <v>52.4</v>
      </c>
      <c r="E419" s="30">
        <v>52.4</v>
      </c>
      <c r="F419" s="29">
        <f>22.6</f>
        <v>22.6</v>
      </c>
      <c r="G419" s="31" t="e">
        <v>#N/A</v>
      </c>
      <c r="H419" s="51" t="e">
        <f t="shared" si="31"/>
        <v>#N/A</v>
      </c>
      <c r="I419" s="29">
        <f>-1.7</f>
        <v>-1.7</v>
      </c>
      <c r="J419" s="31">
        <v>51.2</v>
      </c>
      <c r="K419" s="51">
        <f t="shared" si="32"/>
        <v>-1.7274472168905923E-2</v>
      </c>
      <c r="L419" s="29">
        <f>2.3</f>
        <v>2.2999999999999998</v>
      </c>
      <c r="M419" s="30">
        <v>2.2999999999999998</v>
      </c>
      <c r="N419" s="29" t="e">
        <f>NA()</f>
        <v>#N/A</v>
      </c>
      <c r="O419" s="29">
        <v>50743.6</v>
      </c>
      <c r="P419" s="51" t="e">
        <f t="shared" si="30"/>
        <v>#N/A</v>
      </c>
      <c r="Q419" s="29">
        <f>9.8</f>
        <v>9.8000000000000007</v>
      </c>
      <c r="R419" s="43">
        <v>20.2</v>
      </c>
      <c r="S419" s="32">
        <f t="shared" si="33"/>
        <v>0.10382513661202178</v>
      </c>
      <c r="T419" s="54" t="e">
        <f>VLOOKUP(A419,[1]인포맥스!$A:$I,9,0)</f>
        <v>#N/A</v>
      </c>
      <c r="U419" s="70" t="e">
        <f t="shared" si="34"/>
        <v>#N/A</v>
      </c>
    </row>
    <row r="420" spans="1:21" x14ac:dyDescent="0.25">
      <c r="A420" s="3">
        <v>31655</v>
      </c>
      <c r="B420" s="29" t="e">
        <f>NA()</f>
        <v>#N/A</v>
      </c>
      <c r="C420" s="29" t="e">
        <v>#N/A</v>
      </c>
      <c r="D420" s="50">
        <f>52.6</f>
        <v>52.6</v>
      </c>
      <c r="E420" s="30">
        <v>52.6</v>
      </c>
      <c r="F420" s="29">
        <f>25.2</f>
        <v>25.2</v>
      </c>
      <c r="G420" s="31" t="e">
        <v>#N/A</v>
      </c>
      <c r="H420" s="51" t="e">
        <f t="shared" si="31"/>
        <v>#N/A</v>
      </c>
      <c r="I420" s="29">
        <f>-1.7</f>
        <v>-1.7</v>
      </c>
      <c r="J420" s="31">
        <v>51.06</v>
      </c>
      <c r="K420" s="51">
        <f t="shared" si="32"/>
        <v>-1.6942626107046506E-2</v>
      </c>
      <c r="L420" s="29">
        <f>2.8</f>
        <v>2.8</v>
      </c>
      <c r="M420" s="30">
        <v>2.8</v>
      </c>
      <c r="N420" s="29" t="e">
        <f>NA()</f>
        <v>#N/A</v>
      </c>
      <c r="O420" s="29">
        <v>49027.6</v>
      </c>
      <c r="P420" s="51" t="e">
        <f t="shared" si="30"/>
        <v>#N/A</v>
      </c>
      <c r="Q420" s="29">
        <f>9.8</f>
        <v>9.8000000000000007</v>
      </c>
      <c r="R420" s="43">
        <v>20</v>
      </c>
      <c r="S420" s="32">
        <f t="shared" si="33"/>
        <v>0.10497237569060765</v>
      </c>
      <c r="T420" s="54" t="e">
        <f>VLOOKUP(A420,[1]인포맥스!$A:$I,9,0)</f>
        <v>#N/A</v>
      </c>
      <c r="U420" s="70" t="e">
        <f t="shared" si="34"/>
        <v>#N/A</v>
      </c>
    </row>
    <row r="421" spans="1:21" x14ac:dyDescent="0.25">
      <c r="A421" s="3">
        <v>31624</v>
      </c>
      <c r="B421" s="29" t="e">
        <f>NA()</f>
        <v>#N/A</v>
      </c>
      <c r="C421" s="29" t="e">
        <v>#N/A</v>
      </c>
      <c r="D421" s="50">
        <f>48</f>
        <v>48</v>
      </c>
      <c r="E421" s="30">
        <v>48</v>
      </c>
      <c r="F421" s="29">
        <f>18.4</f>
        <v>18.399999999999999</v>
      </c>
      <c r="G421" s="31" t="e">
        <v>#N/A</v>
      </c>
      <c r="H421" s="51" t="e">
        <f t="shared" si="31"/>
        <v>#N/A</v>
      </c>
      <c r="I421" s="29">
        <f>-1.7</f>
        <v>-1.7</v>
      </c>
      <c r="J421" s="31">
        <v>51.06</v>
      </c>
      <c r="K421" s="51">
        <f t="shared" si="32"/>
        <v>-1.6942626107046506E-2</v>
      </c>
      <c r="L421" s="29">
        <f>3.1</f>
        <v>3.1</v>
      </c>
      <c r="M421" s="30">
        <v>3.1</v>
      </c>
      <c r="N421" s="29" t="e">
        <f>NA()</f>
        <v>#N/A</v>
      </c>
      <c r="O421" s="29">
        <v>47960.7</v>
      </c>
      <c r="P421" s="51" t="e">
        <f t="shared" si="30"/>
        <v>#N/A</v>
      </c>
      <c r="Q421" s="29">
        <f>9.7</f>
        <v>9.6999999999999993</v>
      </c>
      <c r="R421" s="43">
        <v>19.899999999999999</v>
      </c>
      <c r="S421" s="32">
        <f t="shared" si="33"/>
        <v>0.111731843575419</v>
      </c>
      <c r="T421" s="54" t="e">
        <f>VLOOKUP(A421,[1]인포맥스!$A:$I,9,0)</f>
        <v>#N/A</v>
      </c>
      <c r="U421" s="70" t="e">
        <f t="shared" si="34"/>
        <v>#N/A</v>
      </c>
    </row>
    <row r="422" spans="1:21" x14ac:dyDescent="0.25">
      <c r="A422" s="3">
        <v>31593</v>
      </c>
      <c r="B422" s="29" t="e">
        <f>NA()</f>
        <v>#N/A</v>
      </c>
      <c r="C422" s="29" t="e">
        <v>#N/A</v>
      </c>
      <c r="D422" s="50">
        <f>50.5</f>
        <v>50.5</v>
      </c>
      <c r="E422" s="30">
        <v>50.5</v>
      </c>
      <c r="F422" s="29">
        <f>18.6</f>
        <v>18.600000000000001</v>
      </c>
      <c r="G422" s="31" t="e">
        <v>#N/A</v>
      </c>
      <c r="H422" s="51" t="e">
        <f t="shared" si="31"/>
        <v>#N/A</v>
      </c>
      <c r="I422" s="29">
        <f>-1.7</f>
        <v>-1.7</v>
      </c>
      <c r="J422" s="31">
        <v>51.01</v>
      </c>
      <c r="K422" s="51">
        <f t="shared" si="32"/>
        <v>-1.6958951628444838E-2</v>
      </c>
      <c r="L422" s="29">
        <f>3</f>
        <v>3</v>
      </c>
      <c r="M422" s="30">
        <v>3</v>
      </c>
      <c r="N422" s="29" t="e">
        <f>NA()</f>
        <v>#N/A</v>
      </c>
      <c r="O422" s="29">
        <v>47043.5</v>
      </c>
      <c r="P422" s="51" t="e">
        <f t="shared" si="30"/>
        <v>#N/A</v>
      </c>
      <c r="Q422" s="29">
        <f>9.8</f>
        <v>9.8000000000000007</v>
      </c>
      <c r="R422" s="43">
        <v>19.7</v>
      </c>
      <c r="S422" s="32">
        <f t="shared" si="33"/>
        <v>0.10674157303370778</v>
      </c>
      <c r="T422" s="54" t="e">
        <f>VLOOKUP(A422,[1]인포맥스!$A:$I,9,0)</f>
        <v>#N/A</v>
      </c>
      <c r="U422" s="70" t="e">
        <f t="shared" si="34"/>
        <v>#N/A</v>
      </c>
    </row>
    <row r="423" spans="1:21" x14ac:dyDescent="0.25">
      <c r="A423" s="3">
        <v>31563</v>
      </c>
      <c r="B423" s="29" t="e">
        <f>NA()</f>
        <v>#N/A</v>
      </c>
      <c r="C423" s="29" t="e">
        <v>#N/A</v>
      </c>
      <c r="D423" s="50">
        <f>53.4</f>
        <v>53.4</v>
      </c>
      <c r="E423" s="30">
        <v>53.4</v>
      </c>
      <c r="F423" s="29">
        <f>21.4</f>
        <v>21.4</v>
      </c>
      <c r="G423" s="31" t="e">
        <v>#N/A</v>
      </c>
      <c r="H423" s="51" t="e">
        <f t="shared" si="31"/>
        <v>#N/A</v>
      </c>
      <c r="I423" s="29">
        <f>-1.4</f>
        <v>-1.4</v>
      </c>
      <c r="J423" s="31">
        <v>51.17</v>
      </c>
      <c r="K423" s="51">
        <f t="shared" si="32"/>
        <v>-1.3875505877818439E-2</v>
      </c>
      <c r="L423" s="29">
        <f>3.3</f>
        <v>3.3</v>
      </c>
      <c r="M423" s="30">
        <v>3.3</v>
      </c>
      <c r="N423" s="29" t="e">
        <f>NA()</f>
        <v>#N/A</v>
      </c>
      <c r="O423" s="29">
        <v>46197.5</v>
      </c>
      <c r="P423" s="51" t="e">
        <f t="shared" si="30"/>
        <v>#N/A</v>
      </c>
      <c r="Q423" s="29">
        <f>9.6</f>
        <v>9.6</v>
      </c>
      <c r="R423" s="43">
        <v>19.600000000000001</v>
      </c>
      <c r="S423" s="32">
        <f t="shared" si="33"/>
        <v>0.1073446327683617</v>
      </c>
      <c r="T423" s="54" t="e">
        <f>VLOOKUP(A423,[1]인포맥스!$A:$I,9,0)</f>
        <v>#N/A</v>
      </c>
      <c r="U423" s="70" t="e">
        <f t="shared" si="34"/>
        <v>#N/A</v>
      </c>
    </row>
    <row r="424" spans="1:21" x14ac:dyDescent="0.25">
      <c r="A424" s="3">
        <v>31532</v>
      </c>
      <c r="B424" s="29" t="e">
        <f>NA()</f>
        <v>#N/A</v>
      </c>
      <c r="C424" s="29" t="e">
        <v>#N/A</v>
      </c>
      <c r="D424" s="50">
        <f>49.7</f>
        <v>49.7</v>
      </c>
      <c r="E424" s="30">
        <v>49.7</v>
      </c>
      <c r="F424" s="29">
        <f>8.1</f>
        <v>8.1</v>
      </c>
      <c r="G424" s="31" t="e">
        <v>#N/A</v>
      </c>
      <c r="H424" s="51" t="e">
        <f t="shared" si="31"/>
        <v>#N/A</v>
      </c>
      <c r="I424" s="29">
        <f>-1.6</f>
        <v>-1.6</v>
      </c>
      <c r="J424" s="31">
        <v>51.11</v>
      </c>
      <c r="K424" s="51">
        <f t="shared" si="32"/>
        <v>-1.5979976896418911E-2</v>
      </c>
      <c r="L424" s="29">
        <f>3.4</f>
        <v>3.4</v>
      </c>
      <c r="M424" s="30">
        <v>3.4</v>
      </c>
      <c r="N424" s="29" t="e">
        <f>NA()</f>
        <v>#N/A</v>
      </c>
      <c r="O424" s="29">
        <v>45188.7</v>
      </c>
      <c r="P424" s="51" t="e">
        <f t="shared" si="30"/>
        <v>#N/A</v>
      </c>
      <c r="Q424" s="29">
        <f>9.4</f>
        <v>9.4</v>
      </c>
      <c r="R424" s="43">
        <v>19.399999999999999</v>
      </c>
      <c r="S424" s="32">
        <f t="shared" si="33"/>
        <v>9.6045197740112956E-2</v>
      </c>
      <c r="T424" s="54" t="e">
        <f>VLOOKUP(A424,[1]인포맥스!$A:$I,9,0)</f>
        <v>#N/A</v>
      </c>
      <c r="U424" s="70" t="e">
        <f t="shared" si="34"/>
        <v>#N/A</v>
      </c>
    </row>
    <row r="425" spans="1:21" x14ac:dyDescent="0.25">
      <c r="A425" s="3">
        <v>31502</v>
      </c>
      <c r="B425" s="29" t="e">
        <f>NA()</f>
        <v>#N/A</v>
      </c>
      <c r="C425" s="29" t="e">
        <v>#N/A</v>
      </c>
      <c r="D425" s="50">
        <f>51</f>
        <v>51</v>
      </c>
      <c r="E425" s="30">
        <v>51</v>
      </c>
      <c r="F425" s="29">
        <f>9.3</f>
        <v>9.3000000000000007</v>
      </c>
      <c r="G425" s="31" t="e">
        <v>#N/A</v>
      </c>
      <c r="H425" s="51" t="e">
        <f t="shared" si="31"/>
        <v>#N/A</v>
      </c>
      <c r="I425" s="29">
        <f>-0.6</f>
        <v>-0.6</v>
      </c>
      <c r="J425" s="31">
        <v>51.37</v>
      </c>
      <c r="K425" s="51">
        <f t="shared" si="32"/>
        <v>-5.998452012383945E-3</v>
      </c>
      <c r="L425" s="29">
        <f>3.6</f>
        <v>3.6</v>
      </c>
      <c r="M425" s="30">
        <v>3.6</v>
      </c>
      <c r="N425" s="29" t="e">
        <f>NA()</f>
        <v>#N/A</v>
      </c>
      <c r="O425" s="29">
        <v>44587.1</v>
      </c>
      <c r="P425" s="51" t="e">
        <f t="shared" si="30"/>
        <v>#N/A</v>
      </c>
      <c r="Q425" s="29">
        <f>9</f>
        <v>9</v>
      </c>
      <c r="R425" s="43">
        <v>19.2</v>
      </c>
      <c r="S425" s="32">
        <f t="shared" si="33"/>
        <v>9.71428571428571E-2</v>
      </c>
      <c r="T425" s="54" t="e">
        <f>VLOOKUP(A425,[1]인포맥스!$A:$I,9,0)</f>
        <v>#N/A</v>
      </c>
      <c r="U425" s="70" t="e">
        <f t="shared" si="34"/>
        <v>#N/A</v>
      </c>
    </row>
    <row r="426" spans="1:21" x14ac:dyDescent="0.25">
      <c r="A426" s="3">
        <v>31471</v>
      </c>
      <c r="B426" s="29" t="e">
        <f>NA()</f>
        <v>#N/A</v>
      </c>
      <c r="C426" s="29" t="e">
        <v>#N/A</v>
      </c>
      <c r="D426" s="50">
        <f>51</f>
        <v>51</v>
      </c>
      <c r="E426" s="30">
        <v>51</v>
      </c>
      <c r="F426" s="29">
        <f>27.6</f>
        <v>27.6</v>
      </c>
      <c r="G426" s="31" t="e">
        <v>#N/A</v>
      </c>
      <c r="H426" s="51" t="e">
        <f t="shared" si="31"/>
        <v>#N/A</v>
      </c>
      <c r="I426" s="29">
        <f>-0.1</f>
        <v>-0.1</v>
      </c>
      <c r="J426" s="31">
        <v>51.84</v>
      </c>
      <c r="K426" s="51">
        <f t="shared" si="32"/>
        <v>-9.6357679707067179E-4</v>
      </c>
      <c r="L426" s="29">
        <f>3.5</f>
        <v>3.5</v>
      </c>
      <c r="M426" s="30">
        <v>3.5</v>
      </c>
      <c r="N426" s="29" t="e">
        <f>NA()</f>
        <v>#N/A</v>
      </c>
      <c r="O426" s="29">
        <v>43492.4</v>
      </c>
      <c r="P426" s="51" t="e">
        <f t="shared" si="30"/>
        <v>#N/A</v>
      </c>
      <c r="Q426" s="29">
        <f>8.8</f>
        <v>8.8000000000000007</v>
      </c>
      <c r="R426" s="43">
        <v>19</v>
      </c>
      <c r="S426" s="32">
        <f t="shared" si="33"/>
        <v>9.1954022988505843E-2</v>
      </c>
      <c r="T426" s="54" t="e">
        <f>VLOOKUP(A426,[1]인포맥스!$A:$I,9,0)</f>
        <v>#N/A</v>
      </c>
      <c r="U426" s="70" t="e">
        <f t="shared" si="34"/>
        <v>#N/A</v>
      </c>
    </row>
    <row r="427" spans="1:21" x14ac:dyDescent="0.25">
      <c r="A427" s="3">
        <v>31443</v>
      </c>
      <c r="B427" s="29" t="e">
        <f>NA()</f>
        <v>#N/A</v>
      </c>
      <c r="C427" s="29" t="e">
        <v>#N/A</v>
      </c>
      <c r="D427" s="50">
        <f>51.2</f>
        <v>51.2</v>
      </c>
      <c r="E427" s="30">
        <v>51.2</v>
      </c>
      <c r="F427" s="29">
        <f>23.4</f>
        <v>23.4</v>
      </c>
      <c r="G427" s="31" t="e">
        <v>#N/A</v>
      </c>
      <c r="H427" s="51" t="e">
        <f t="shared" si="31"/>
        <v>#N/A</v>
      </c>
      <c r="I427" s="29">
        <f>0.5</f>
        <v>0.5</v>
      </c>
      <c r="J427" s="31">
        <v>52.2</v>
      </c>
      <c r="K427" s="51">
        <f t="shared" si="32"/>
        <v>5.0057758952638644E-3</v>
      </c>
      <c r="L427" s="29">
        <f>3.7</f>
        <v>3.7</v>
      </c>
      <c r="M427" s="30">
        <v>3.7</v>
      </c>
      <c r="N427" s="29" t="e">
        <f>NA()</f>
        <v>#N/A</v>
      </c>
      <c r="O427" s="29">
        <v>43133.599999999999</v>
      </c>
      <c r="P427" s="51" t="e">
        <f t="shared" si="30"/>
        <v>#N/A</v>
      </c>
      <c r="Q427" s="29">
        <f>8.7</f>
        <v>8.6999999999999993</v>
      </c>
      <c r="R427" s="43">
        <v>18.899999999999999</v>
      </c>
      <c r="S427" s="32">
        <f t="shared" si="33"/>
        <v>9.2485549132947847E-2</v>
      </c>
      <c r="T427" s="54" t="e">
        <f>VLOOKUP(A427,[1]인포맥스!$A:$I,9,0)</f>
        <v>#N/A</v>
      </c>
      <c r="U427" s="70" t="e">
        <f t="shared" si="34"/>
        <v>#N/A</v>
      </c>
    </row>
    <row r="428" spans="1:21" x14ac:dyDescent="0.25">
      <c r="A428" s="3">
        <v>31412</v>
      </c>
      <c r="B428" s="29" t="e">
        <f>NA()</f>
        <v>#N/A</v>
      </c>
      <c r="C428" s="29" t="e">
        <v>#N/A</v>
      </c>
      <c r="D428" s="50">
        <f>50.7</f>
        <v>50.7</v>
      </c>
      <c r="E428" s="30">
        <v>50.7</v>
      </c>
      <c r="F428" s="29">
        <f>26.8</f>
        <v>26.8</v>
      </c>
      <c r="G428" s="31" t="e">
        <v>#N/A</v>
      </c>
      <c r="H428" s="51" t="e">
        <f t="shared" si="31"/>
        <v>#N/A</v>
      </c>
      <c r="I428" s="29">
        <f>0.6</f>
        <v>0.6</v>
      </c>
      <c r="J428" s="31">
        <v>52.1</v>
      </c>
      <c r="K428" s="51">
        <f t="shared" si="32"/>
        <v>5.5973750241265999E-3</v>
      </c>
      <c r="L428" s="29">
        <f>3</f>
        <v>3</v>
      </c>
      <c r="M428" s="30">
        <v>3</v>
      </c>
      <c r="N428" s="29" t="e">
        <f>NA()</f>
        <v>#N/A</v>
      </c>
      <c r="O428" s="29" t="e">
        <v>#N/A</v>
      </c>
      <c r="P428" s="51" t="e">
        <f t="shared" si="30"/>
        <v>#N/A</v>
      </c>
      <c r="Q428" s="29">
        <f>8.6</f>
        <v>8.6</v>
      </c>
      <c r="R428" s="43">
        <v>18.7</v>
      </c>
      <c r="S428" s="32">
        <f t="shared" si="33"/>
        <v>8.7209302325581398E-2</v>
      </c>
      <c r="T428" s="54" t="e">
        <f>VLOOKUP(A428,[1]인포맥스!$A:$I,9,0)</f>
        <v>#N/A</v>
      </c>
      <c r="U428" s="70" t="e">
        <f t="shared" si="34"/>
        <v>#N/A</v>
      </c>
    </row>
    <row r="429" spans="1:21" x14ac:dyDescent="0.25">
      <c r="A429" s="3">
        <v>31381</v>
      </c>
      <c r="B429" s="29" t="e">
        <f>NA()</f>
        <v>#N/A</v>
      </c>
      <c r="C429" s="29" t="e">
        <v>#N/A</v>
      </c>
      <c r="D429" s="50">
        <f>52</f>
        <v>52</v>
      </c>
      <c r="E429" s="30">
        <v>52</v>
      </c>
      <c r="F429" s="29">
        <f>22.9</f>
        <v>22.9</v>
      </c>
      <c r="G429" s="31" t="e">
        <v>#N/A</v>
      </c>
      <c r="H429" s="51" t="e">
        <f t="shared" si="31"/>
        <v>#N/A</v>
      </c>
      <c r="I429" s="29">
        <f>0.3</f>
        <v>0.3</v>
      </c>
      <c r="J429" s="31">
        <v>51.84</v>
      </c>
      <c r="K429" s="51">
        <f t="shared" si="32"/>
        <v>3.4843205574914215E-3</v>
      </c>
      <c r="L429" s="29">
        <f>2.4</f>
        <v>2.4</v>
      </c>
      <c r="M429" s="30">
        <v>2.4</v>
      </c>
      <c r="N429" s="29" t="e">
        <f>NA()</f>
        <v>#N/A</v>
      </c>
      <c r="O429" s="29" t="e">
        <v>#N/A</v>
      </c>
      <c r="P429" s="51" t="e">
        <f t="shared" si="30"/>
        <v>#N/A</v>
      </c>
      <c r="Q429" s="29">
        <f>8.4</f>
        <v>8.4</v>
      </c>
      <c r="R429" s="43">
        <v>18.5</v>
      </c>
      <c r="S429" s="32">
        <f t="shared" si="33"/>
        <v>8.1871345029239678E-2</v>
      </c>
      <c r="T429" s="54" t="e">
        <f>VLOOKUP(A429,[1]인포맥스!$A:$I,9,0)</f>
        <v>#N/A</v>
      </c>
      <c r="U429" s="70" t="e">
        <f t="shared" si="34"/>
        <v>#N/A</v>
      </c>
    </row>
    <row r="430" spans="1:21" x14ac:dyDescent="0.25">
      <c r="A430" s="3">
        <v>31351</v>
      </c>
      <c r="B430" s="29" t="e">
        <f>NA()</f>
        <v>#N/A</v>
      </c>
      <c r="C430" s="29" t="e">
        <v>#N/A</v>
      </c>
      <c r="D430" s="50">
        <f>50.9</f>
        <v>50.9</v>
      </c>
      <c r="E430" s="30">
        <v>50.9</v>
      </c>
      <c r="F430" s="29">
        <f>-3.6</f>
        <v>-3.6</v>
      </c>
      <c r="G430" s="31" t="e">
        <v>#N/A</v>
      </c>
      <c r="H430" s="51" t="e">
        <f t="shared" si="31"/>
        <v>#N/A</v>
      </c>
      <c r="I430" s="29">
        <f>0.6</f>
        <v>0.6</v>
      </c>
      <c r="J430" s="31">
        <v>52.15</v>
      </c>
      <c r="K430" s="51">
        <f t="shared" si="32"/>
        <v>5.591978403393736E-3</v>
      </c>
      <c r="L430" s="29">
        <f>3.4</f>
        <v>3.4</v>
      </c>
      <c r="M430" s="30">
        <v>3.4</v>
      </c>
      <c r="N430" s="29" t="e">
        <f>NA()</f>
        <v>#N/A</v>
      </c>
      <c r="O430" s="29" t="e">
        <v>#N/A</v>
      </c>
      <c r="P430" s="51" t="e">
        <f t="shared" si="30"/>
        <v>#N/A</v>
      </c>
      <c r="Q430" s="29">
        <f>8.1</f>
        <v>8.1</v>
      </c>
      <c r="R430" s="43">
        <v>18.399999999999999</v>
      </c>
      <c r="S430" s="32">
        <f t="shared" si="33"/>
        <v>8.8757396449704151E-2</v>
      </c>
      <c r="T430" s="54" t="e">
        <f>VLOOKUP(A430,[1]인포맥스!$A:$I,9,0)</f>
        <v>#N/A</v>
      </c>
      <c r="U430" s="70" t="e">
        <f t="shared" si="34"/>
        <v>#N/A</v>
      </c>
    </row>
    <row r="431" spans="1:21" x14ac:dyDescent="0.25">
      <c r="A431" s="3">
        <v>31320</v>
      </c>
      <c r="B431" s="29" t="e">
        <f>NA()</f>
        <v>#N/A</v>
      </c>
      <c r="C431" s="29" t="e">
        <v>#N/A</v>
      </c>
      <c r="D431" s="50">
        <f>49.9</f>
        <v>49.9</v>
      </c>
      <c r="E431" s="30">
        <v>49.9</v>
      </c>
      <c r="F431" s="29">
        <f>13</f>
        <v>13</v>
      </c>
      <c r="G431" s="31" t="e">
        <v>#N/A</v>
      </c>
      <c r="H431" s="51" t="e">
        <f t="shared" si="31"/>
        <v>#N/A</v>
      </c>
      <c r="I431" s="29">
        <f>-0.3</f>
        <v>-0.3</v>
      </c>
      <c r="J431" s="31">
        <v>52.1</v>
      </c>
      <c r="K431" s="51">
        <f t="shared" si="32"/>
        <v>-2.8708133971291593E-3</v>
      </c>
      <c r="L431" s="29">
        <f>2.6</f>
        <v>2.6</v>
      </c>
      <c r="M431" s="30">
        <v>2.6</v>
      </c>
      <c r="N431" s="29" t="e">
        <f>NA()</f>
        <v>#N/A</v>
      </c>
      <c r="O431" s="29" t="e">
        <v>#N/A</v>
      </c>
      <c r="P431" s="51" t="e">
        <f t="shared" si="30"/>
        <v>#N/A</v>
      </c>
      <c r="Q431" s="29">
        <f>8.2</f>
        <v>8.1999999999999993</v>
      </c>
      <c r="R431" s="43">
        <v>18.3</v>
      </c>
      <c r="S431" s="32">
        <f t="shared" si="33"/>
        <v>9.5808383233533023E-2</v>
      </c>
      <c r="T431" s="54" t="e">
        <f>VLOOKUP(A431,[1]인포맥스!$A:$I,9,0)</f>
        <v>#N/A</v>
      </c>
      <c r="U431" s="70" t="e">
        <f t="shared" si="34"/>
        <v>#N/A</v>
      </c>
    </row>
    <row r="432" spans="1:21" x14ac:dyDescent="0.25">
      <c r="A432" s="3">
        <v>31290</v>
      </c>
      <c r="B432" s="29" t="e">
        <f>NA()</f>
        <v>#N/A</v>
      </c>
      <c r="C432" s="29" t="e">
        <v>#N/A</v>
      </c>
      <c r="D432" s="50">
        <f>47.7</f>
        <v>47.7</v>
      </c>
      <c r="E432" s="30">
        <v>47.7</v>
      </c>
      <c r="F432" s="29">
        <f>1.5</f>
        <v>1.5</v>
      </c>
      <c r="G432" s="31" t="e">
        <v>#N/A</v>
      </c>
      <c r="H432" s="51" t="e">
        <f t="shared" si="31"/>
        <v>#N/A</v>
      </c>
      <c r="I432" s="29">
        <f>0.5</f>
        <v>0.5</v>
      </c>
      <c r="J432" s="31">
        <v>51.94</v>
      </c>
      <c r="K432" s="51">
        <f t="shared" si="32"/>
        <v>5.420054200542028E-3</v>
      </c>
      <c r="L432" s="29">
        <f>2.6</f>
        <v>2.6</v>
      </c>
      <c r="M432" s="30">
        <v>2.6</v>
      </c>
      <c r="N432" s="29" t="e">
        <f>NA()</f>
        <v>#N/A</v>
      </c>
      <c r="O432" s="29" t="e">
        <v>#N/A</v>
      </c>
      <c r="P432" s="51" t="e">
        <f t="shared" si="30"/>
        <v>#N/A</v>
      </c>
      <c r="Q432" s="29">
        <f>8</f>
        <v>8</v>
      </c>
      <c r="R432" s="43">
        <v>18.100000000000001</v>
      </c>
      <c r="S432" s="32">
        <f t="shared" si="33"/>
        <v>8.3832335329341451E-2</v>
      </c>
      <c r="T432" s="54" t="e">
        <f>VLOOKUP(A432,[1]인포맥스!$A:$I,9,0)</f>
        <v>#N/A</v>
      </c>
      <c r="U432" s="70" t="e">
        <f t="shared" si="34"/>
        <v>#N/A</v>
      </c>
    </row>
    <row r="433" spans="1:21" x14ac:dyDescent="0.25">
      <c r="A433" s="3">
        <v>31259</v>
      </c>
      <c r="B433" s="29" t="e">
        <f>NA()</f>
        <v>#N/A</v>
      </c>
      <c r="C433" s="29" t="e">
        <v>#N/A</v>
      </c>
      <c r="D433" s="50">
        <f>47.9</f>
        <v>47.9</v>
      </c>
      <c r="E433" s="30">
        <v>47.9</v>
      </c>
      <c r="F433" s="29">
        <f>0.1</f>
        <v>0.1</v>
      </c>
      <c r="G433" s="31" t="e">
        <v>#N/A</v>
      </c>
      <c r="H433" s="51" t="e">
        <f t="shared" si="31"/>
        <v>#N/A</v>
      </c>
      <c r="I433" s="29">
        <f>1.4</f>
        <v>1.4</v>
      </c>
      <c r="J433" s="31">
        <v>51.94</v>
      </c>
      <c r="K433" s="51">
        <f t="shared" si="32"/>
        <v>1.3661202185792266E-2</v>
      </c>
      <c r="L433" s="29">
        <f>3</f>
        <v>3</v>
      </c>
      <c r="M433" s="30">
        <v>3</v>
      </c>
      <c r="N433" s="29" t="e">
        <f>NA()</f>
        <v>#N/A</v>
      </c>
      <c r="O433" s="29" t="e">
        <v>#N/A</v>
      </c>
      <c r="P433" s="51" t="e">
        <f t="shared" si="30"/>
        <v>#N/A</v>
      </c>
      <c r="Q433" s="29">
        <f>7.7</f>
        <v>7.7</v>
      </c>
      <c r="R433" s="43">
        <v>17.899999999999999</v>
      </c>
      <c r="S433" s="32">
        <f t="shared" si="33"/>
        <v>7.8313253012048015E-2</v>
      </c>
      <c r="T433" s="54" t="e">
        <f>VLOOKUP(A433,[1]인포맥스!$A:$I,9,0)</f>
        <v>#N/A</v>
      </c>
      <c r="U433" s="70" t="e">
        <f t="shared" si="34"/>
        <v>#N/A</v>
      </c>
    </row>
    <row r="434" spans="1:21" x14ac:dyDescent="0.25">
      <c r="A434" s="3">
        <v>31228</v>
      </c>
      <c r="B434" s="29" t="e">
        <f>NA()</f>
        <v>#N/A</v>
      </c>
      <c r="C434" s="29" t="e">
        <v>#N/A</v>
      </c>
      <c r="D434" s="50">
        <f>47.8</f>
        <v>47.8</v>
      </c>
      <c r="E434" s="30">
        <v>47.8</v>
      </c>
      <c r="F434" s="29">
        <f>-3.4</f>
        <v>-3.4</v>
      </c>
      <c r="G434" s="31" t="e">
        <v>#N/A</v>
      </c>
      <c r="H434" s="51" t="e">
        <f t="shared" si="31"/>
        <v>#N/A</v>
      </c>
      <c r="I434" s="29">
        <f>1.6</f>
        <v>1.6</v>
      </c>
      <c r="J434" s="31">
        <v>51.89</v>
      </c>
      <c r="K434" s="51">
        <f t="shared" si="32"/>
        <v>1.565864161284003E-2</v>
      </c>
      <c r="L434" s="29">
        <f>3</f>
        <v>3</v>
      </c>
      <c r="M434" s="30">
        <v>3</v>
      </c>
      <c r="N434" s="29" t="e">
        <f>NA()</f>
        <v>#N/A</v>
      </c>
      <c r="O434" s="29" t="e">
        <v>#N/A</v>
      </c>
      <c r="P434" s="51" t="e">
        <f t="shared" si="30"/>
        <v>#N/A</v>
      </c>
      <c r="Q434" s="29">
        <f>7.8</f>
        <v>7.8</v>
      </c>
      <c r="R434" s="43">
        <v>17.8</v>
      </c>
      <c r="S434" s="32">
        <f t="shared" si="33"/>
        <v>7.8787878787878837E-2</v>
      </c>
      <c r="T434" s="54" t="e">
        <f>VLOOKUP(A434,[1]인포맥스!$A:$I,9,0)</f>
        <v>#N/A</v>
      </c>
      <c r="U434" s="70" t="e">
        <f t="shared" si="34"/>
        <v>#N/A</v>
      </c>
    </row>
    <row r="435" spans="1:21" x14ac:dyDescent="0.25">
      <c r="A435" s="3">
        <v>31198</v>
      </c>
      <c r="B435" s="29" t="e">
        <f>NA()</f>
        <v>#N/A</v>
      </c>
      <c r="C435" s="29" t="e">
        <v>#N/A</v>
      </c>
      <c r="D435" s="50">
        <f>47.1</f>
        <v>47.1</v>
      </c>
      <c r="E435" s="30">
        <v>47.1</v>
      </c>
      <c r="F435" s="29">
        <f>-0.1</f>
        <v>-0.1</v>
      </c>
      <c r="G435" s="31" t="e">
        <v>#N/A</v>
      </c>
      <c r="H435" s="51" t="e">
        <f t="shared" si="31"/>
        <v>#N/A</v>
      </c>
      <c r="I435" s="29">
        <f>1.2</f>
        <v>1.2</v>
      </c>
      <c r="J435" s="31">
        <v>51.89</v>
      </c>
      <c r="K435" s="51">
        <f t="shared" si="32"/>
        <v>1.189547581903275E-2</v>
      </c>
      <c r="L435" s="29">
        <f>2.3</f>
        <v>2.2999999999999998</v>
      </c>
      <c r="M435" s="30">
        <v>2.2999999999999998</v>
      </c>
      <c r="N435" s="29" t="e">
        <f>NA()</f>
        <v>#N/A</v>
      </c>
      <c r="O435" s="29" t="e">
        <v>#N/A</v>
      </c>
      <c r="P435" s="51" t="e">
        <f t="shared" si="30"/>
        <v>#N/A</v>
      </c>
      <c r="Q435" s="29">
        <f>7.8</f>
        <v>7.8</v>
      </c>
      <c r="R435" s="43">
        <v>17.7</v>
      </c>
      <c r="S435" s="32">
        <f t="shared" si="33"/>
        <v>7.9268292682926886E-2</v>
      </c>
      <c r="T435" s="54" t="e">
        <f>VLOOKUP(A435,[1]인포맥스!$A:$I,9,0)</f>
        <v>#N/A</v>
      </c>
      <c r="U435" s="70" t="e">
        <f t="shared" si="34"/>
        <v>#N/A</v>
      </c>
    </row>
    <row r="436" spans="1:21" x14ac:dyDescent="0.25">
      <c r="A436" s="3">
        <v>31167</v>
      </c>
      <c r="B436" s="29" t="e">
        <f>NA()</f>
        <v>#N/A</v>
      </c>
      <c r="C436" s="29" t="e">
        <v>#N/A</v>
      </c>
      <c r="D436" s="50">
        <f>48.2</f>
        <v>48.2</v>
      </c>
      <c r="E436" s="30">
        <v>48.2</v>
      </c>
      <c r="F436" s="29">
        <f>2.1</f>
        <v>2.1</v>
      </c>
      <c r="G436" s="31" t="e">
        <v>#N/A</v>
      </c>
      <c r="H436" s="51" t="e">
        <f t="shared" si="31"/>
        <v>#N/A</v>
      </c>
      <c r="I436" s="29">
        <f>0.9</f>
        <v>0.9</v>
      </c>
      <c r="J436" s="31">
        <v>51.94</v>
      </c>
      <c r="K436" s="51">
        <f t="shared" si="32"/>
        <v>8.7395610798212415E-3</v>
      </c>
      <c r="L436" s="29">
        <f>1.5</f>
        <v>1.5</v>
      </c>
      <c r="M436" s="30">
        <v>1.5</v>
      </c>
      <c r="N436" s="29" t="e">
        <f>NA()</f>
        <v>#N/A</v>
      </c>
      <c r="O436" s="29" t="e">
        <v>#N/A</v>
      </c>
      <c r="P436" s="51" t="e">
        <f t="shared" si="30"/>
        <v>#N/A</v>
      </c>
      <c r="Q436" s="29">
        <f>8.2</f>
        <v>8.1999999999999993</v>
      </c>
      <c r="R436" s="43">
        <v>17.7</v>
      </c>
      <c r="S436" s="32">
        <f t="shared" si="33"/>
        <v>8.5889570552147146E-2</v>
      </c>
      <c r="T436" s="54" t="e">
        <f>VLOOKUP(A436,[1]인포맥스!$A:$I,9,0)</f>
        <v>#N/A</v>
      </c>
      <c r="U436" s="70" t="e">
        <f t="shared" si="34"/>
        <v>#N/A</v>
      </c>
    </row>
    <row r="437" spans="1:21" x14ac:dyDescent="0.25">
      <c r="A437" s="3">
        <v>31137</v>
      </c>
      <c r="B437" s="29" t="e">
        <f>NA()</f>
        <v>#N/A</v>
      </c>
      <c r="C437" s="29" t="e">
        <v>#N/A</v>
      </c>
      <c r="D437" s="50">
        <f>47.8</f>
        <v>47.8</v>
      </c>
      <c r="E437" s="30">
        <v>47.8</v>
      </c>
      <c r="F437" s="29">
        <f>2.8</f>
        <v>2.8</v>
      </c>
      <c r="G437" s="31" t="e">
        <v>#N/A</v>
      </c>
      <c r="H437" s="51" t="e">
        <f t="shared" si="31"/>
        <v>#N/A</v>
      </c>
      <c r="I437" s="29">
        <f>0.9</f>
        <v>0.9</v>
      </c>
      <c r="J437" s="31">
        <v>51.68</v>
      </c>
      <c r="K437" s="51">
        <f t="shared" si="32"/>
        <v>9.3749999999999389E-3</v>
      </c>
      <c r="L437" s="29">
        <f>1.7</f>
        <v>1.7</v>
      </c>
      <c r="M437" s="30">
        <v>1.7</v>
      </c>
      <c r="N437" s="29" t="e">
        <f>NA()</f>
        <v>#N/A</v>
      </c>
      <c r="O437" s="29" t="e">
        <v>#N/A</v>
      </c>
      <c r="P437" s="51" t="e">
        <f t="shared" si="30"/>
        <v>#N/A</v>
      </c>
      <c r="Q437" s="29">
        <f>8</f>
        <v>8</v>
      </c>
      <c r="R437" s="43">
        <v>17.5</v>
      </c>
      <c r="S437" s="32">
        <f t="shared" si="33"/>
        <v>8.0246913580246965E-2</v>
      </c>
      <c r="T437" s="54" t="e">
        <f>VLOOKUP(A437,[1]인포맥스!$A:$I,9,0)</f>
        <v>#N/A</v>
      </c>
      <c r="U437" s="70" t="e">
        <f t="shared" si="34"/>
        <v>#N/A</v>
      </c>
    </row>
    <row r="438" spans="1:21" x14ac:dyDescent="0.25">
      <c r="A438" s="3">
        <v>31106</v>
      </c>
      <c r="B438" s="29" t="e">
        <f>NA()</f>
        <v>#N/A</v>
      </c>
      <c r="C438" s="29" t="e">
        <v>#N/A</v>
      </c>
      <c r="D438" s="50">
        <f>49.9</f>
        <v>49.9</v>
      </c>
      <c r="E438" s="30">
        <v>49.9</v>
      </c>
      <c r="F438" s="29">
        <f>-9.7</f>
        <v>-9.6999999999999993</v>
      </c>
      <c r="G438" s="31" t="e">
        <v>#N/A</v>
      </c>
      <c r="H438" s="51" t="e">
        <f t="shared" si="31"/>
        <v>#N/A</v>
      </c>
      <c r="I438" s="29">
        <f>1.4</f>
        <v>1.4</v>
      </c>
      <c r="J438" s="31">
        <v>51.89</v>
      </c>
      <c r="K438" s="51">
        <f t="shared" si="32"/>
        <v>1.4070744576900504E-2</v>
      </c>
      <c r="L438" s="29">
        <f>1.9</f>
        <v>1.9</v>
      </c>
      <c r="M438" s="30">
        <v>1.9</v>
      </c>
      <c r="N438" s="29" t="e">
        <f>NA()</f>
        <v>#N/A</v>
      </c>
      <c r="O438" s="29" t="e">
        <v>#N/A</v>
      </c>
      <c r="P438" s="51" t="e">
        <f t="shared" si="30"/>
        <v>#N/A</v>
      </c>
      <c r="Q438" s="29">
        <f>7.8</f>
        <v>7.8</v>
      </c>
      <c r="R438" s="43">
        <v>17.399999999999999</v>
      </c>
      <c r="S438" s="32">
        <f t="shared" si="33"/>
        <v>8.0745341614906652E-2</v>
      </c>
      <c r="T438" s="54" t="e">
        <f>VLOOKUP(A438,[1]인포맥스!$A:$I,9,0)</f>
        <v>#N/A</v>
      </c>
      <c r="U438" s="70" t="e">
        <f t="shared" si="34"/>
        <v>#N/A</v>
      </c>
    </row>
    <row r="439" spans="1:21" x14ac:dyDescent="0.25">
      <c r="A439" s="3">
        <v>31078</v>
      </c>
      <c r="B439" s="29" t="e">
        <f>NA()</f>
        <v>#N/A</v>
      </c>
      <c r="C439" s="29" t="e">
        <v>#N/A</v>
      </c>
      <c r="D439" s="50">
        <f>50.3</f>
        <v>50.3</v>
      </c>
      <c r="E439" s="30">
        <v>50.3</v>
      </c>
      <c r="F439" s="29">
        <f>-19.4</f>
        <v>-19.399999999999999</v>
      </c>
      <c r="G439" s="31" t="e">
        <v>#N/A</v>
      </c>
      <c r="H439" s="51" t="e">
        <f t="shared" si="31"/>
        <v>#N/A</v>
      </c>
      <c r="I439" s="29">
        <f>1.7</f>
        <v>1.7</v>
      </c>
      <c r="J439" s="31">
        <v>51.94</v>
      </c>
      <c r="K439" s="51">
        <f t="shared" si="32"/>
        <v>1.7433888344760052E-2</v>
      </c>
      <c r="L439" s="29">
        <f>2.1</f>
        <v>2.1</v>
      </c>
      <c r="M439" s="30">
        <v>2.1</v>
      </c>
      <c r="N439" s="29" t="e">
        <f>NA()</f>
        <v>#N/A</v>
      </c>
      <c r="O439" s="29" t="e">
        <v>#N/A</v>
      </c>
      <c r="P439" s="51" t="e">
        <f t="shared" si="30"/>
        <v>#N/A</v>
      </c>
      <c r="Q439" s="29">
        <f>7.9</f>
        <v>7.9</v>
      </c>
      <c r="R439" s="43">
        <v>17.3</v>
      </c>
      <c r="S439" s="32">
        <f t="shared" si="33"/>
        <v>8.1250000000000044E-2</v>
      </c>
      <c r="T439" s="54" t="e">
        <f>VLOOKUP(A439,[1]인포맥스!$A:$I,9,0)</f>
        <v>#N/A</v>
      </c>
      <c r="U439" s="70" t="e">
        <f t="shared" si="34"/>
        <v>#N/A</v>
      </c>
    </row>
    <row r="440" spans="1:21" x14ac:dyDescent="0.25">
      <c r="A440" s="3">
        <v>31047</v>
      </c>
      <c r="B440" s="29" t="e">
        <f>NA()</f>
        <v>#N/A</v>
      </c>
      <c r="C440" s="29" t="e">
        <v>#N/A</v>
      </c>
      <c r="D440" s="50">
        <f>50.6</f>
        <v>50.6</v>
      </c>
      <c r="E440" s="30">
        <v>50.6</v>
      </c>
      <c r="F440" s="29">
        <f>21.9</f>
        <v>21.9</v>
      </c>
      <c r="G440" s="31" t="e">
        <v>#N/A</v>
      </c>
      <c r="H440" s="51" t="e">
        <f t="shared" si="31"/>
        <v>#N/A</v>
      </c>
      <c r="I440" s="29">
        <f>1.6</f>
        <v>1.6</v>
      </c>
      <c r="J440" s="31">
        <v>51.81</v>
      </c>
      <c r="K440" s="51">
        <f t="shared" si="32"/>
        <v>1.568319937267211E-2</v>
      </c>
      <c r="L440" s="29">
        <f>2.4</f>
        <v>2.4</v>
      </c>
      <c r="M440" s="30">
        <v>2.4</v>
      </c>
      <c r="N440" s="29" t="e">
        <f>NA()</f>
        <v>#N/A</v>
      </c>
      <c r="O440" s="29" t="e">
        <v>#N/A</v>
      </c>
      <c r="P440" s="51" t="e">
        <f t="shared" si="30"/>
        <v>#N/A</v>
      </c>
      <c r="Q440" s="29">
        <f>7.9</f>
        <v>7.9</v>
      </c>
      <c r="R440" s="43">
        <v>17.2</v>
      </c>
      <c r="S440" s="32">
        <f t="shared" si="33"/>
        <v>8.1761006289308102E-2</v>
      </c>
      <c r="T440" s="54" t="e">
        <f>VLOOKUP(A440,[1]인포맥스!$A:$I,9,0)</f>
        <v>#N/A</v>
      </c>
      <c r="U440" s="70" t="e">
        <f t="shared" si="34"/>
        <v>#N/A</v>
      </c>
    </row>
    <row r="441" spans="1:21" x14ac:dyDescent="0.25">
      <c r="A441" s="3">
        <v>31016</v>
      </c>
      <c r="B441" s="29" t="e">
        <f>NA()</f>
        <v>#N/A</v>
      </c>
      <c r="C441" s="29" t="e">
        <v>#N/A</v>
      </c>
      <c r="D441" s="50">
        <f>50.3</f>
        <v>50.3</v>
      </c>
      <c r="E441" s="30">
        <v>50.3</v>
      </c>
      <c r="F441" s="29">
        <f>29.4</f>
        <v>29.4</v>
      </c>
      <c r="G441" s="31" t="e">
        <v>#N/A</v>
      </c>
      <c r="H441" s="51" t="e">
        <f t="shared" si="31"/>
        <v>#N/A</v>
      </c>
      <c r="I441" s="29">
        <f>1.5</f>
        <v>1.5</v>
      </c>
      <c r="J441" s="31">
        <v>51.66</v>
      </c>
      <c r="K441" s="51">
        <f t="shared" si="32"/>
        <v>1.5130674002750952E-2</v>
      </c>
      <c r="L441" s="29">
        <f>2.7</f>
        <v>2.7</v>
      </c>
      <c r="M441" s="30">
        <v>2.7</v>
      </c>
      <c r="N441" s="29" t="e">
        <f>NA()</f>
        <v>#N/A</v>
      </c>
      <c r="O441" s="29" t="e">
        <v>#N/A</v>
      </c>
      <c r="P441" s="51" t="e">
        <f t="shared" si="30"/>
        <v>#N/A</v>
      </c>
      <c r="Q441" s="29">
        <f>7.7</f>
        <v>7.7</v>
      </c>
      <c r="R441" s="43">
        <v>17.100000000000001</v>
      </c>
      <c r="S441" s="32">
        <f t="shared" si="33"/>
        <v>8.2278481012658264E-2</v>
      </c>
      <c r="T441" s="54" t="e">
        <f>VLOOKUP(A441,[1]인포맥스!$A:$I,9,0)</f>
        <v>#N/A</v>
      </c>
      <c r="U441" s="70" t="e">
        <f t="shared" si="34"/>
        <v>#N/A</v>
      </c>
    </row>
    <row r="442" spans="1:21" x14ac:dyDescent="0.25">
      <c r="A442" s="3">
        <v>30986</v>
      </c>
      <c r="B442" s="29" t="e">
        <f>NA()</f>
        <v>#N/A</v>
      </c>
      <c r="C442" s="29" t="e">
        <v>#N/A</v>
      </c>
      <c r="D442" s="50">
        <f>50.8</f>
        <v>50.8</v>
      </c>
      <c r="E442" s="30">
        <v>50.8</v>
      </c>
      <c r="F442" s="29">
        <f>4.5</f>
        <v>4.5</v>
      </c>
      <c r="G442" s="31" t="e">
        <v>#N/A</v>
      </c>
      <c r="H442" s="51" t="e">
        <f t="shared" si="31"/>
        <v>#N/A</v>
      </c>
      <c r="I442" s="29">
        <f>1.9</f>
        <v>1.9</v>
      </c>
      <c r="J442" s="31">
        <v>51.86</v>
      </c>
      <c r="K442" s="51">
        <f t="shared" si="32"/>
        <v>1.9060719198270758E-2</v>
      </c>
      <c r="L442" s="29">
        <f>2.7</f>
        <v>2.7</v>
      </c>
      <c r="M442" s="30">
        <v>2.7</v>
      </c>
      <c r="N442" s="29" t="e">
        <f>NA()</f>
        <v>#N/A</v>
      </c>
      <c r="O442" s="29" t="e">
        <v>#N/A</v>
      </c>
      <c r="P442" s="51" t="e">
        <f t="shared" si="30"/>
        <v>#N/A</v>
      </c>
      <c r="Q442" s="29">
        <f>7.1</f>
        <v>7.1</v>
      </c>
      <c r="R442" s="43">
        <v>16.899999999999999</v>
      </c>
      <c r="S442" s="32">
        <f t="shared" si="33"/>
        <v>7.6433121019108236E-2</v>
      </c>
      <c r="T442" s="54" t="e">
        <f>VLOOKUP(A442,[1]인포맥스!$A:$I,9,0)</f>
        <v>#N/A</v>
      </c>
      <c r="U442" s="70" t="e">
        <f t="shared" si="34"/>
        <v>#N/A</v>
      </c>
    </row>
    <row r="443" spans="1:21" x14ac:dyDescent="0.25">
      <c r="A443" s="3">
        <v>30955</v>
      </c>
      <c r="B443" s="29" t="e">
        <f>NA()</f>
        <v>#N/A</v>
      </c>
      <c r="C443" s="29" t="e">
        <v>#N/A</v>
      </c>
      <c r="D443" s="50">
        <f>50</f>
        <v>50</v>
      </c>
      <c r="E443" s="30">
        <v>50</v>
      </c>
      <c r="F443" s="29">
        <f>3.3</f>
        <v>3.3</v>
      </c>
      <c r="G443" s="31" t="e">
        <v>#N/A</v>
      </c>
      <c r="H443" s="51" t="e">
        <f t="shared" si="31"/>
        <v>#N/A</v>
      </c>
      <c r="I443" s="29">
        <f>2.4</f>
        <v>2.4</v>
      </c>
      <c r="J443" s="31">
        <v>52.25</v>
      </c>
      <c r="K443" s="51">
        <f t="shared" si="32"/>
        <v>2.3506366307541684E-2</v>
      </c>
      <c r="L443" s="29">
        <f>3.2</f>
        <v>3.2</v>
      </c>
      <c r="M443" s="30">
        <v>3.2</v>
      </c>
      <c r="N443" s="29" t="e">
        <f>NA()</f>
        <v>#N/A</v>
      </c>
      <c r="O443" s="29" t="e">
        <v>#N/A</v>
      </c>
      <c r="P443" s="51" t="e">
        <f t="shared" si="30"/>
        <v>#N/A</v>
      </c>
      <c r="Q443" s="29">
        <f>7</f>
        <v>7</v>
      </c>
      <c r="R443" s="43">
        <v>16.7</v>
      </c>
      <c r="S443" s="32">
        <f t="shared" si="33"/>
        <v>7.0512820512820498E-2</v>
      </c>
      <c r="T443" s="54" t="e">
        <f>VLOOKUP(A443,[1]인포맥스!$A:$I,9,0)</f>
        <v>#N/A</v>
      </c>
      <c r="U443" s="70" t="e">
        <f t="shared" si="34"/>
        <v>#N/A</v>
      </c>
    </row>
    <row r="444" spans="1:21" x14ac:dyDescent="0.25">
      <c r="A444" s="3">
        <v>30925</v>
      </c>
      <c r="B444" s="29" t="e">
        <f>NA()</f>
        <v>#N/A</v>
      </c>
      <c r="C444" s="29" t="e">
        <v>#N/A</v>
      </c>
      <c r="D444" s="50">
        <f>53</f>
        <v>53</v>
      </c>
      <c r="E444" s="30">
        <v>53</v>
      </c>
      <c r="F444" s="29">
        <f>12.6</f>
        <v>12.6</v>
      </c>
      <c r="G444" s="31" t="e">
        <v>#N/A</v>
      </c>
      <c r="H444" s="51" t="e">
        <f t="shared" si="31"/>
        <v>#N/A</v>
      </c>
      <c r="I444" s="29">
        <f>1.5</f>
        <v>1.5</v>
      </c>
      <c r="J444" s="31">
        <v>51.66</v>
      </c>
      <c r="K444" s="51">
        <f t="shared" si="32"/>
        <v>1.5130674002750952E-2</v>
      </c>
      <c r="L444" s="29">
        <f>2.2</f>
        <v>2.2000000000000002</v>
      </c>
      <c r="M444" s="30">
        <v>2.2000000000000002</v>
      </c>
      <c r="N444" s="29" t="e">
        <f>NA()</f>
        <v>#N/A</v>
      </c>
      <c r="O444" s="29" t="e">
        <v>#N/A</v>
      </c>
      <c r="P444" s="51" t="e">
        <f t="shared" si="30"/>
        <v>#N/A</v>
      </c>
      <c r="Q444" s="29">
        <f>7.5</f>
        <v>7.5</v>
      </c>
      <c r="R444" s="43">
        <v>16.7</v>
      </c>
      <c r="S444" s="32">
        <f t="shared" si="33"/>
        <v>7.7419354838709625E-2</v>
      </c>
      <c r="T444" s="54" t="e">
        <f>VLOOKUP(A444,[1]인포맥스!$A:$I,9,0)</f>
        <v>#N/A</v>
      </c>
      <c r="U444" s="70" t="e">
        <f t="shared" si="34"/>
        <v>#N/A</v>
      </c>
    </row>
    <row r="445" spans="1:21" x14ac:dyDescent="0.25">
      <c r="A445" s="3">
        <v>30894</v>
      </c>
      <c r="B445" s="29" t="e">
        <f>NA()</f>
        <v>#N/A</v>
      </c>
      <c r="C445" s="29" t="e">
        <v>#N/A</v>
      </c>
      <c r="D445" s="50">
        <f>56.1</f>
        <v>56.1</v>
      </c>
      <c r="E445" s="30">
        <v>56.1</v>
      </c>
      <c r="F445" s="29">
        <f>17.4</f>
        <v>17.399999999999999</v>
      </c>
      <c r="G445" s="31" t="e">
        <v>#N/A</v>
      </c>
      <c r="H445" s="51" t="e">
        <f t="shared" si="31"/>
        <v>#N/A</v>
      </c>
      <c r="I445" s="29">
        <f>0.9</f>
        <v>0.9</v>
      </c>
      <c r="J445" s="31">
        <v>51.24</v>
      </c>
      <c r="K445" s="51">
        <f t="shared" si="32"/>
        <v>8.661417322834741E-3</v>
      </c>
      <c r="L445" s="29">
        <f>1.7</f>
        <v>1.7</v>
      </c>
      <c r="M445" s="30">
        <v>1.7</v>
      </c>
      <c r="N445" s="29" t="e">
        <f>NA()</f>
        <v>#N/A</v>
      </c>
      <c r="O445" s="29" t="e">
        <v>#N/A</v>
      </c>
      <c r="P445" s="51" t="e">
        <f t="shared" si="30"/>
        <v>#N/A</v>
      </c>
      <c r="Q445" s="29">
        <f>7.6</f>
        <v>7.6</v>
      </c>
      <c r="R445" s="43">
        <v>16.600000000000001</v>
      </c>
      <c r="S445" s="32">
        <f t="shared" si="33"/>
        <v>7.792207792207799E-2</v>
      </c>
      <c r="T445" s="54" t="e">
        <f>VLOOKUP(A445,[1]인포맥스!$A:$I,9,0)</f>
        <v>#N/A</v>
      </c>
      <c r="U445" s="70" t="e">
        <f t="shared" si="34"/>
        <v>#N/A</v>
      </c>
    </row>
    <row r="446" spans="1:21" x14ac:dyDescent="0.25">
      <c r="A446" s="3">
        <v>30863</v>
      </c>
      <c r="B446" s="29" t="e">
        <f>NA()</f>
        <v>#N/A</v>
      </c>
      <c r="C446" s="29" t="e">
        <v>#N/A</v>
      </c>
      <c r="D446" s="50">
        <f>58.1</f>
        <v>58.1</v>
      </c>
      <c r="E446" s="30">
        <v>58.1</v>
      </c>
      <c r="F446" s="29">
        <f>19.9</f>
        <v>19.899999999999999</v>
      </c>
      <c r="G446" s="31" t="e">
        <v>#N/A</v>
      </c>
      <c r="H446" s="51" t="e">
        <f t="shared" si="31"/>
        <v>#N/A</v>
      </c>
      <c r="I446" s="29">
        <f>0.4</f>
        <v>0.4</v>
      </c>
      <c r="J446" s="31">
        <v>51.09</v>
      </c>
      <c r="K446" s="51">
        <f t="shared" si="32"/>
        <v>3.9300451955198044E-3</v>
      </c>
      <c r="L446" s="29">
        <f>1.7</f>
        <v>1.7</v>
      </c>
      <c r="M446" s="30">
        <v>1.7</v>
      </c>
      <c r="N446" s="29" t="e">
        <f>NA()</f>
        <v>#N/A</v>
      </c>
      <c r="O446" s="29" t="e">
        <v>#N/A</v>
      </c>
      <c r="P446" s="51" t="e">
        <f t="shared" si="30"/>
        <v>#N/A</v>
      </c>
      <c r="Q446" s="29">
        <f>7.8</f>
        <v>7.8</v>
      </c>
      <c r="R446" s="43">
        <v>16.5</v>
      </c>
      <c r="S446" s="32">
        <f t="shared" si="33"/>
        <v>7.8431372549019551E-2</v>
      </c>
      <c r="T446" s="54" t="e">
        <f>VLOOKUP(A446,[1]인포맥스!$A:$I,9,0)</f>
        <v>#N/A</v>
      </c>
      <c r="U446" s="70" t="e">
        <f t="shared" si="34"/>
        <v>#N/A</v>
      </c>
    </row>
    <row r="447" spans="1:21" x14ac:dyDescent="0.25">
      <c r="A447" s="3">
        <v>30833</v>
      </c>
      <c r="B447" s="29" t="e">
        <f>NA()</f>
        <v>#N/A</v>
      </c>
      <c r="C447" s="29" t="e">
        <v>#N/A</v>
      </c>
      <c r="D447" s="50">
        <f>58.6</f>
        <v>58.6</v>
      </c>
      <c r="E447" s="30">
        <v>58.6</v>
      </c>
      <c r="F447" s="29">
        <f>24.2</f>
        <v>24.2</v>
      </c>
      <c r="G447" s="31" t="e">
        <v>#N/A</v>
      </c>
      <c r="H447" s="51" t="e">
        <f t="shared" si="31"/>
        <v>#N/A</v>
      </c>
      <c r="I447" s="29">
        <f>0.5</f>
        <v>0.5</v>
      </c>
      <c r="J447" s="31">
        <v>51.28</v>
      </c>
      <c r="K447" s="51">
        <f t="shared" si="32"/>
        <v>4.5053868756122235E-3</v>
      </c>
      <c r="L447" s="29">
        <f>2.2</f>
        <v>2.2000000000000002</v>
      </c>
      <c r="M447" s="30">
        <v>2.2000000000000002</v>
      </c>
      <c r="N447" s="29" t="e">
        <f>NA()</f>
        <v>#N/A</v>
      </c>
      <c r="O447" s="29" t="e">
        <v>#N/A</v>
      </c>
      <c r="P447" s="51" t="e">
        <f t="shared" si="30"/>
        <v>#N/A</v>
      </c>
      <c r="Q447" s="29">
        <f>8.1</f>
        <v>8.1</v>
      </c>
      <c r="R447" s="43">
        <v>16.399999999999999</v>
      </c>
      <c r="S447" s="32">
        <f t="shared" si="33"/>
        <v>8.6092715231788006E-2</v>
      </c>
      <c r="T447" s="54" t="e">
        <f>VLOOKUP(A447,[1]인포맥스!$A:$I,9,0)</f>
        <v>#N/A</v>
      </c>
      <c r="U447" s="70" t="e">
        <f t="shared" si="34"/>
        <v>#N/A</v>
      </c>
    </row>
    <row r="448" spans="1:21" x14ac:dyDescent="0.25">
      <c r="A448" s="3">
        <v>30802</v>
      </c>
      <c r="B448" s="29" t="e">
        <f>NA()</f>
        <v>#N/A</v>
      </c>
      <c r="C448" s="29" t="e">
        <v>#N/A</v>
      </c>
      <c r="D448" s="50">
        <f>61</f>
        <v>61</v>
      </c>
      <c r="E448" s="30">
        <v>61</v>
      </c>
      <c r="F448" s="29">
        <f>22.3</f>
        <v>22.3</v>
      </c>
      <c r="G448" s="31" t="e">
        <v>#N/A</v>
      </c>
      <c r="H448" s="51" t="e">
        <f t="shared" si="31"/>
        <v>#N/A</v>
      </c>
      <c r="I448" s="29">
        <f>0.3</f>
        <v>0.3</v>
      </c>
      <c r="J448" s="31">
        <v>51.49</v>
      </c>
      <c r="K448" s="51">
        <f t="shared" si="32"/>
        <v>3.3125487139517092E-3</v>
      </c>
      <c r="L448" s="29">
        <f>2.6</f>
        <v>2.6</v>
      </c>
      <c r="M448" s="30">
        <v>2.6</v>
      </c>
      <c r="N448" s="29" t="e">
        <f>NA()</f>
        <v>#N/A</v>
      </c>
      <c r="O448" s="29" t="e">
        <v>#N/A</v>
      </c>
      <c r="P448" s="51" t="e">
        <f t="shared" si="30"/>
        <v>#N/A</v>
      </c>
      <c r="Q448" s="29">
        <f>8.1</f>
        <v>8.1</v>
      </c>
      <c r="R448" s="43">
        <v>16.3</v>
      </c>
      <c r="S448" s="32">
        <f t="shared" si="33"/>
        <v>9.3959731543624178E-2</v>
      </c>
      <c r="T448" s="54" t="e">
        <f>VLOOKUP(A448,[1]인포맥스!$A:$I,9,0)</f>
        <v>#N/A</v>
      </c>
      <c r="U448" s="70" t="e">
        <f t="shared" si="34"/>
        <v>#N/A</v>
      </c>
    </row>
    <row r="449" spans="1:21" x14ac:dyDescent="0.25">
      <c r="A449" s="3">
        <v>30772</v>
      </c>
      <c r="B449" s="29" t="e">
        <f>NA()</f>
        <v>#N/A</v>
      </c>
      <c r="C449" s="29" t="e">
        <v>#N/A</v>
      </c>
      <c r="D449" s="50">
        <f>58.9</f>
        <v>58.9</v>
      </c>
      <c r="E449" s="30">
        <v>58.9</v>
      </c>
      <c r="F449" s="29">
        <f>20.3</f>
        <v>20.3</v>
      </c>
      <c r="G449" s="31" t="e">
        <v>#N/A</v>
      </c>
      <c r="H449" s="51" t="e">
        <f t="shared" si="31"/>
        <v>#N/A</v>
      </c>
      <c r="I449" s="29">
        <f>-0.3</f>
        <v>-0.3</v>
      </c>
      <c r="J449" s="31">
        <v>51.2</v>
      </c>
      <c r="K449" s="51">
        <f t="shared" si="32"/>
        <v>-3.3093245084678726E-3</v>
      </c>
      <c r="L449" s="29">
        <f>2</f>
        <v>2</v>
      </c>
      <c r="M449" s="30">
        <v>2</v>
      </c>
      <c r="N449" s="29" t="e">
        <f>NA()</f>
        <v>#N/A</v>
      </c>
      <c r="O449" s="29" t="e">
        <v>#N/A</v>
      </c>
      <c r="P449" s="51" t="e">
        <f t="shared" si="30"/>
        <v>#N/A</v>
      </c>
      <c r="Q449" s="29">
        <f>8.3</f>
        <v>8.3000000000000007</v>
      </c>
      <c r="R449" s="43">
        <v>16.2</v>
      </c>
      <c r="S449" s="32">
        <f t="shared" si="33"/>
        <v>8.7248322147650936E-2</v>
      </c>
      <c r="T449" s="54" t="e">
        <f>VLOOKUP(A449,[1]인포맥스!$A:$I,9,0)</f>
        <v>#N/A</v>
      </c>
      <c r="U449" s="70" t="e">
        <f t="shared" si="34"/>
        <v>#N/A</v>
      </c>
    </row>
    <row r="450" spans="1:21" x14ac:dyDescent="0.25">
      <c r="A450" s="3">
        <v>30741</v>
      </c>
      <c r="B450" s="29" t="e">
        <f>NA()</f>
        <v>#N/A</v>
      </c>
      <c r="C450" s="29" t="e">
        <v>#N/A</v>
      </c>
      <c r="D450" s="50">
        <f>61.3</f>
        <v>61.3</v>
      </c>
      <c r="E450" s="30">
        <v>61.3</v>
      </c>
      <c r="F450" s="29">
        <f>25.8</f>
        <v>25.8</v>
      </c>
      <c r="G450" s="31" t="e">
        <v>#N/A</v>
      </c>
      <c r="H450" s="51" t="e">
        <f t="shared" si="31"/>
        <v>#N/A</v>
      </c>
      <c r="I450" s="29">
        <f>-0.7</f>
        <v>-0.7</v>
      </c>
      <c r="J450" s="31">
        <v>51.17</v>
      </c>
      <c r="K450" s="51">
        <f t="shared" si="32"/>
        <v>-6.9862216184746638E-3</v>
      </c>
      <c r="L450" s="29">
        <f>2</f>
        <v>2</v>
      </c>
      <c r="M450" s="30">
        <v>2</v>
      </c>
      <c r="N450" s="29" t="e">
        <f>NA()</f>
        <v>#N/A</v>
      </c>
      <c r="O450" s="29" t="e">
        <v>#N/A</v>
      </c>
      <c r="P450" s="51" t="e">
        <f t="shared" si="30"/>
        <v>#N/A</v>
      </c>
      <c r="Q450" s="29">
        <f>8.4</f>
        <v>8.4</v>
      </c>
      <c r="R450" s="43">
        <v>16.100000000000001</v>
      </c>
      <c r="S450" s="32">
        <f t="shared" si="33"/>
        <v>8.7837837837837884E-2</v>
      </c>
      <c r="T450" s="54" t="e">
        <f>VLOOKUP(A450,[1]인포맥스!$A:$I,9,0)</f>
        <v>#N/A</v>
      </c>
      <c r="U450" s="70" t="e">
        <f t="shared" si="34"/>
        <v>#N/A</v>
      </c>
    </row>
    <row r="451" spans="1:21" x14ac:dyDescent="0.25">
      <c r="A451" s="3">
        <v>30712</v>
      </c>
      <c r="B451" s="29" t="e">
        <f>NA()</f>
        <v>#N/A</v>
      </c>
      <c r="C451" s="29" t="e">
        <v>#N/A</v>
      </c>
      <c r="D451" s="50">
        <f>60.5</f>
        <v>60.5</v>
      </c>
      <c r="E451" s="30">
        <v>60.5</v>
      </c>
      <c r="F451" s="29">
        <f>53.7</f>
        <v>53.7</v>
      </c>
      <c r="G451" s="31" t="e">
        <v>#N/A</v>
      </c>
      <c r="H451" s="51" t="e">
        <f t="shared" si="31"/>
        <v>#N/A</v>
      </c>
      <c r="I451" s="29">
        <f>-1.1</f>
        <v>-1.1000000000000001</v>
      </c>
      <c r="J451" s="31">
        <v>51.05</v>
      </c>
      <c r="K451" s="51">
        <f t="shared" si="32"/>
        <v>-1.1042231693142199E-2</v>
      </c>
      <c r="L451" s="29">
        <f>1.8</f>
        <v>1.8</v>
      </c>
      <c r="M451" s="30">
        <v>1.8</v>
      </c>
      <c r="N451" s="29" t="e">
        <f>NA()</f>
        <v>#N/A</v>
      </c>
      <c r="O451" s="29" t="e">
        <v>#N/A</v>
      </c>
      <c r="P451" s="51" t="e">
        <f t="shared" si="30"/>
        <v>#N/A</v>
      </c>
      <c r="Q451" s="29">
        <f>8.9</f>
        <v>8.9</v>
      </c>
      <c r="R451" s="43">
        <v>16</v>
      </c>
      <c r="S451" s="32">
        <f t="shared" si="33"/>
        <v>9.5890410958904132E-2</v>
      </c>
      <c r="T451" s="54" t="e">
        <f>VLOOKUP(A451,[1]인포맥스!$A:$I,9,0)</f>
        <v>#N/A</v>
      </c>
      <c r="U451" s="70" t="e">
        <f t="shared" si="34"/>
        <v>#N/A</v>
      </c>
    </row>
    <row r="452" spans="1:21" x14ac:dyDescent="0.25">
      <c r="A452" s="3">
        <v>30681</v>
      </c>
      <c r="B452" s="29" t="e">
        <f>NA()</f>
        <v>#N/A</v>
      </c>
      <c r="C452" s="29" t="e">
        <v>#N/A</v>
      </c>
      <c r="D452" s="50">
        <f>69.9</f>
        <v>69.900000000000006</v>
      </c>
      <c r="E452" s="30">
        <v>69.900000000000006</v>
      </c>
      <c r="F452" s="29">
        <f>28</f>
        <v>28</v>
      </c>
      <c r="G452" s="31" t="e">
        <v>#N/A</v>
      </c>
      <c r="H452" s="51" t="e">
        <f t="shared" si="31"/>
        <v>#N/A</v>
      </c>
      <c r="I452" s="29">
        <f>-0.8</f>
        <v>-0.8</v>
      </c>
      <c r="J452" s="31">
        <v>51.01</v>
      </c>
      <c r="K452" s="51">
        <f t="shared" si="32"/>
        <v>-7.7805874343512662E-3</v>
      </c>
      <c r="L452" s="29">
        <f>2</f>
        <v>2</v>
      </c>
      <c r="M452" s="30">
        <v>2</v>
      </c>
      <c r="N452" s="29" t="e">
        <f>NA()</f>
        <v>#N/A</v>
      </c>
      <c r="O452" s="29" t="e">
        <v>#N/A</v>
      </c>
      <c r="P452" s="51" t="e">
        <f t="shared" si="30"/>
        <v>#N/A</v>
      </c>
      <c r="Q452" s="29">
        <f>9.1</f>
        <v>9.1</v>
      </c>
      <c r="R452" s="43">
        <v>15.9</v>
      </c>
      <c r="S452" s="32">
        <f t="shared" si="33"/>
        <v>0.10416666666666666</v>
      </c>
      <c r="T452" s="54" t="e">
        <f>VLOOKUP(A452,[1]인포맥스!$A:$I,9,0)</f>
        <v>#N/A</v>
      </c>
      <c r="U452" s="70" t="e">
        <f t="shared" si="34"/>
        <v>#N/A</v>
      </c>
    </row>
    <row r="453" spans="1:21" x14ac:dyDescent="0.25">
      <c r="A453" s="3">
        <v>30650</v>
      </c>
      <c r="B453" s="29" t="e">
        <f>NA()</f>
        <v>#N/A</v>
      </c>
      <c r="C453" s="29" t="e">
        <v>#N/A</v>
      </c>
      <c r="D453" s="50">
        <f>66</f>
        <v>66</v>
      </c>
      <c r="E453" s="30">
        <v>66</v>
      </c>
      <c r="F453" s="29">
        <f>37.2</f>
        <v>37.200000000000003</v>
      </c>
      <c r="G453" s="31" t="e">
        <v>#N/A</v>
      </c>
      <c r="H453" s="51" t="e">
        <f t="shared" si="31"/>
        <v>#N/A</v>
      </c>
      <c r="I453" s="29">
        <f>-0.6</f>
        <v>-0.6</v>
      </c>
      <c r="J453" s="31">
        <v>50.89</v>
      </c>
      <c r="K453" s="51">
        <f t="shared" si="32"/>
        <v>-6.0546875000000444E-3</v>
      </c>
      <c r="L453" s="29">
        <f>2.8</f>
        <v>2.8</v>
      </c>
      <c r="M453" s="30">
        <v>2.8</v>
      </c>
      <c r="N453" s="29" t="e">
        <f>NA()</f>
        <v>#N/A</v>
      </c>
      <c r="O453" s="29" t="e">
        <v>#N/A</v>
      </c>
      <c r="P453" s="51" t="e">
        <f t="shared" ref="P453:P516" si="35">(O453-O465)/O465</f>
        <v>#N/A</v>
      </c>
      <c r="Q453" s="29">
        <f>9.6</f>
        <v>9.6</v>
      </c>
      <c r="R453" s="43">
        <v>15.8</v>
      </c>
      <c r="S453" s="32">
        <f t="shared" si="33"/>
        <v>0.1048951048951049</v>
      </c>
      <c r="T453" s="54" t="e">
        <f>VLOOKUP(A453,[1]인포맥스!$A:$I,9,0)</f>
        <v>#N/A</v>
      </c>
      <c r="U453" s="70" t="e">
        <f t="shared" si="34"/>
        <v>#N/A</v>
      </c>
    </row>
    <row r="454" spans="1:21" x14ac:dyDescent="0.25">
      <c r="A454" s="3">
        <v>30620</v>
      </c>
      <c r="B454" s="29" t="e">
        <f>NA()</f>
        <v>#N/A</v>
      </c>
      <c r="C454" s="29" t="e">
        <v>#N/A</v>
      </c>
      <c r="D454" s="50">
        <f>64.4</f>
        <v>64.400000000000006</v>
      </c>
      <c r="E454" s="30">
        <v>64.400000000000006</v>
      </c>
      <c r="F454" s="29">
        <f>14.8</f>
        <v>14.8</v>
      </c>
      <c r="G454" s="31" t="e">
        <v>#N/A</v>
      </c>
      <c r="H454" s="51" t="e">
        <f t="shared" ref="H454:H517" si="36">(G454-G466)/G466</f>
        <v>#N/A</v>
      </c>
      <c r="I454" s="29">
        <f>-0.6</f>
        <v>-0.6</v>
      </c>
      <c r="J454" s="31">
        <v>50.89</v>
      </c>
      <c r="K454" s="51">
        <f t="shared" ref="K454:K517" si="37">(J454-J466)/J466</f>
        <v>-6.0546875000000444E-3</v>
      </c>
      <c r="L454" s="29">
        <f>2.4</f>
        <v>2.4</v>
      </c>
      <c r="M454" s="30">
        <v>2.4</v>
      </c>
      <c r="N454" s="29" t="e">
        <f>NA()</f>
        <v>#N/A</v>
      </c>
      <c r="O454" s="29" t="e">
        <v>#N/A</v>
      </c>
      <c r="P454" s="51" t="e">
        <f t="shared" si="35"/>
        <v>#N/A</v>
      </c>
      <c r="Q454" s="29">
        <f>9.9</f>
        <v>9.9</v>
      </c>
      <c r="R454" s="43">
        <v>15.7</v>
      </c>
      <c r="S454" s="32">
        <f t="shared" ref="S454:S517" si="38">(R454-R466)/R466</f>
        <v>0.10563380281690142</v>
      </c>
      <c r="T454" s="54" t="e">
        <f>VLOOKUP(A454,[1]인포맥스!$A:$I,9,0)</f>
        <v>#N/A</v>
      </c>
      <c r="U454" s="70" t="e">
        <f t="shared" ref="U454:U517" si="39">(T454-T466)/T466</f>
        <v>#N/A</v>
      </c>
    </row>
    <row r="455" spans="1:21" x14ac:dyDescent="0.25">
      <c r="A455" s="3">
        <v>30589</v>
      </c>
      <c r="B455" s="29" t="e">
        <f>NA()</f>
        <v>#N/A</v>
      </c>
      <c r="C455" s="29" t="e">
        <v>#N/A</v>
      </c>
      <c r="D455" s="50">
        <f>62.5</f>
        <v>62.5</v>
      </c>
      <c r="E455" s="30">
        <v>62.5</v>
      </c>
      <c r="F455" s="29">
        <f>7</f>
        <v>7</v>
      </c>
      <c r="G455" s="31" t="e">
        <v>#N/A</v>
      </c>
      <c r="H455" s="51" t="e">
        <f t="shared" si="36"/>
        <v>#N/A</v>
      </c>
      <c r="I455" s="29">
        <f>-0.4</f>
        <v>-0.4</v>
      </c>
      <c r="J455" s="31">
        <v>51.05</v>
      </c>
      <c r="K455" s="51">
        <f t="shared" si="37"/>
        <v>-3.7080405932865892E-3</v>
      </c>
      <c r="L455" s="29">
        <f>2.3</f>
        <v>2.2999999999999998</v>
      </c>
      <c r="M455" s="30">
        <v>2.2999999999999998</v>
      </c>
      <c r="N455" s="29" t="e">
        <f>NA()</f>
        <v>#N/A</v>
      </c>
      <c r="O455" s="29" t="e">
        <v>#N/A</v>
      </c>
      <c r="P455" s="51" t="e">
        <f t="shared" si="35"/>
        <v>#N/A</v>
      </c>
      <c r="Q455" s="29">
        <f>10.1</f>
        <v>10.1</v>
      </c>
      <c r="R455" s="43">
        <v>15.6</v>
      </c>
      <c r="S455" s="32">
        <f t="shared" si="38"/>
        <v>0.10638297872340426</v>
      </c>
      <c r="T455" s="54" t="e">
        <f>VLOOKUP(A455,[1]인포맥스!$A:$I,9,0)</f>
        <v>#N/A</v>
      </c>
      <c r="U455" s="70" t="e">
        <f t="shared" si="39"/>
        <v>#N/A</v>
      </c>
    </row>
    <row r="456" spans="1:21" x14ac:dyDescent="0.25">
      <c r="A456" s="3">
        <v>30559</v>
      </c>
      <c r="B456" s="29" t="e">
        <f>NA()</f>
        <v>#N/A</v>
      </c>
      <c r="C456" s="29" t="e">
        <v>#N/A</v>
      </c>
      <c r="D456" s="50">
        <f>63.1</f>
        <v>63.1</v>
      </c>
      <c r="E456" s="30">
        <v>63.1</v>
      </c>
      <c r="F456" s="29">
        <f>13.4</f>
        <v>13.4</v>
      </c>
      <c r="G456" s="31" t="e">
        <v>#N/A</v>
      </c>
      <c r="H456" s="51" t="e">
        <f t="shared" si="36"/>
        <v>#N/A</v>
      </c>
      <c r="I456" s="29">
        <f>-0.3</f>
        <v>-0.3</v>
      </c>
      <c r="J456" s="31">
        <v>50.89</v>
      </c>
      <c r="K456" s="51">
        <f t="shared" si="37"/>
        <v>-3.1341821743388169E-3</v>
      </c>
      <c r="L456" s="29">
        <f>2.6</f>
        <v>2.6</v>
      </c>
      <c r="M456" s="30">
        <v>2.6</v>
      </c>
      <c r="N456" s="29" t="e">
        <f>NA()</f>
        <v>#N/A</v>
      </c>
      <c r="O456" s="29" t="e">
        <v>#N/A</v>
      </c>
      <c r="P456" s="51" t="e">
        <f t="shared" si="35"/>
        <v>#N/A</v>
      </c>
      <c r="Q456" s="29">
        <f>10.3</f>
        <v>10.3</v>
      </c>
      <c r="R456" s="43">
        <v>15.5</v>
      </c>
      <c r="S456" s="32">
        <f t="shared" si="38"/>
        <v>0.11510791366906473</v>
      </c>
      <c r="T456" s="54" t="e">
        <f>VLOOKUP(A456,[1]인포맥스!$A:$I,9,0)</f>
        <v>#N/A</v>
      </c>
      <c r="U456" s="70" t="e">
        <f t="shared" si="39"/>
        <v>#N/A</v>
      </c>
    </row>
    <row r="457" spans="1:21" x14ac:dyDescent="0.25">
      <c r="A457" s="3">
        <v>30528</v>
      </c>
      <c r="B457" s="29" t="e">
        <f>NA()</f>
        <v>#N/A</v>
      </c>
      <c r="C457" s="29" t="e">
        <v>#N/A</v>
      </c>
      <c r="D457" s="50">
        <f>63.6</f>
        <v>63.6</v>
      </c>
      <c r="E457" s="30">
        <v>63.6</v>
      </c>
      <c r="F457" s="29">
        <f>14</f>
        <v>14</v>
      </c>
      <c r="G457" s="31" t="e">
        <v>#N/A</v>
      </c>
      <c r="H457" s="51" t="e">
        <f t="shared" si="36"/>
        <v>#N/A</v>
      </c>
      <c r="I457" s="29">
        <f>-0.7</f>
        <v>-0.7</v>
      </c>
      <c r="J457" s="31">
        <v>50.8</v>
      </c>
      <c r="K457" s="51">
        <f t="shared" si="37"/>
        <v>-6.6484161126320572E-3</v>
      </c>
      <c r="L457" s="29">
        <f>2.8</f>
        <v>2.8</v>
      </c>
      <c r="M457" s="30">
        <v>2.8</v>
      </c>
      <c r="N457" s="29" t="e">
        <f>NA()</f>
        <v>#N/A</v>
      </c>
      <c r="O457" s="29" t="e">
        <v>#N/A</v>
      </c>
      <c r="P457" s="51" t="e">
        <f t="shared" si="35"/>
        <v>#N/A</v>
      </c>
      <c r="Q457" s="29">
        <f>10.9</f>
        <v>10.9</v>
      </c>
      <c r="R457" s="43">
        <v>15.4</v>
      </c>
      <c r="S457" s="32">
        <f t="shared" si="38"/>
        <v>0.11594202898550722</v>
      </c>
      <c r="T457" s="54" t="e">
        <f>VLOOKUP(A457,[1]인포맥스!$A:$I,9,0)</f>
        <v>#N/A</v>
      </c>
      <c r="U457" s="70" t="e">
        <f t="shared" si="39"/>
        <v>#N/A</v>
      </c>
    </row>
    <row r="458" spans="1:21" x14ac:dyDescent="0.25">
      <c r="A458" s="3">
        <v>30497</v>
      </c>
      <c r="B458" s="29" t="e">
        <f>NA()</f>
        <v>#N/A</v>
      </c>
      <c r="C458" s="29" t="e">
        <v>#N/A</v>
      </c>
      <c r="D458" s="50">
        <f>57.5</f>
        <v>57.5</v>
      </c>
      <c r="E458" s="30">
        <v>57.5</v>
      </c>
      <c r="F458" s="29">
        <f>25.6</f>
        <v>25.6</v>
      </c>
      <c r="G458" s="31" t="e">
        <v>#N/A</v>
      </c>
      <c r="H458" s="51" t="e">
        <f t="shared" si="36"/>
        <v>#N/A</v>
      </c>
      <c r="I458" s="29">
        <f>-0.1</f>
        <v>-0.1</v>
      </c>
      <c r="J458" s="31">
        <v>50.89</v>
      </c>
      <c r="K458" s="51">
        <f t="shared" si="37"/>
        <v>-7.853917141173993E-4</v>
      </c>
      <c r="L458" s="29">
        <f>3.1</f>
        <v>3.1</v>
      </c>
      <c r="M458" s="30">
        <v>3.1</v>
      </c>
      <c r="N458" s="29" t="e">
        <f>NA()</f>
        <v>#N/A</v>
      </c>
      <c r="O458" s="29" t="e">
        <v>#N/A</v>
      </c>
      <c r="P458" s="51" t="e">
        <f t="shared" si="35"/>
        <v>#N/A</v>
      </c>
      <c r="Q458" s="29">
        <f>11</f>
        <v>11</v>
      </c>
      <c r="R458" s="43">
        <v>15.3</v>
      </c>
      <c r="S458" s="32">
        <f t="shared" si="38"/>
        <v>0.12500000000000008</v>
      </c>
      <c r="T458" s="54" t="e">
        <f>VLOOKUP(A458,[1]인포맥스!$A:$I,9,0)</f>
        <v>#N/A</v>
      </c>
      <c r="U458" s="70" t="e">
        <f t="shared" si="39"/>
        <v>#N/A</v>
      </c>
    </row>
    <row r="459" spans="1:21" x14ac:dyDescent="0.25">
      <c r="A459" s="3">
        <v>30467</v>
      </c>
      <c r="B459" s="29" t="e">
        <f>NA()</f>
        <v>#N/A</v>
      </c>
      <c r="C459" s="29" t="e">
        <v>#N/A</v>
      </c>
      <c r="D459" s="50">
        <f>56.1</f>
        <v>56.1</v>
      </c>
      <c r="E459" s="30">
        <v>56.1</v>
      </c>
      <c r="F459" s="29">
        <f>2.6</f>
        <v>2.6</v>
      </c>
      <c r="G459" s="31" t="e">
        <v>#N/A</v>
      </c>
      <c r="H459" s="51" t="e">
        <f t="shared" si="36"/>
        <v>#N/A</v>
      </c>
      <c r="I459" s="29">
        <f>0.2</f>
        <v>0.2</v>
      </c>
      <c r="J459" s="31">
        <v>51.05</v>
      </c>
      <c r="K459" s="51">
        <f t="shared" si="37"/>
        <v>1.5695507161074809E-3</v>
      </c>
      <c r="L459" s="29">
        <f>3.8</f>
        <v>3.8</v>
      </c>
      <c r="M459" s="30">
        <v>3.8</v>
      </c>
      <c r="N459" s="29" t="e">
        <f>NA()</f>
        <v>#N/A</v>
      </c>
      <c r="O459" s="29" t="e">
        <v>#N/A</v>
      </c>
      <c r="P459" s="51" t="e">
        <f t="shared" si="35"/>
        <v>#N/A</v>
      </c>
      <c r="Q459" s="29">
        <f>10.8</f>
        <v>10.8</v>
      </c>
      <c r="R459" s="43">
        <v>15.1</v>
      </c>
      <c r="S459" s="32">
        <f t="shared" si="38"/>
        <v>0.11029411764705882</v>
      </c>
      <c r="T459" s="54" t="e">
        <f>VLOOKUP(A459,[1]인포맥스!$A:$I,9,0)</f>
        <v>#N/A</v>
      </c>
      <c r="U459" s="70" t="e">
        <f t="shared" si="39"/>
        <v>#N/A</v>
      </c>
    </row>
    <row r="460" spans="1:21" x14ac:dyDescent="0.25">
      <c r="A460" s="3">
        <v>30436</v>
      </c>
      <c r="B460" s="29" t="e">
        <f>NA()</f>
        <v>#N/A</v>
      </c>
      <c r="C460" s="29" t="e">
        <v>#N/A</v>
      </c>
      <c r="D460" s="50">
        <f>54.2</f>
        <v>54.2</v>
      </c>
      <c r="E460" s="30">
        <v>54.2</v>
      </c>
      <c r="F460" s="29">
        <f>4.8</f>
        <v>4.8</v>
      </c>
      <c r="G460" s="31" t="e">
        <v>#N/A</v>
      </c>
      <c r="H460" s="51" t="e">
        <f t="shared" si="36"/>
        <v>#N/A</v>
      </c>
      <c r="I460" s="29">
        <f>0.9</f>
        <v>0.9</v>
      </c>
      <c r="J460" s="31">
        <v>51.32</v>
      </c>
      <c r="K460" s="51">
        <f t="shared" si="37"/>
        <v>9.441384736427947E-3</v>
      </c>
      <c r="L460" s="29">
        <f>4.3</f>
        <v>4.3</v>
      </c>
      <c r="M460" s="30">
        <v>4.3</v>
      </c>
      <c r="N460" s="29" t="e">
        <f>NA()</f>
        <v>#N/A</v>
      </c>
      <c r="O460" s="29" t="e">
        <v>#N/A</v>
      </c>
      <c r="P460" s="51" t="e">
        <f t="shared" si="35"/>
        <v>#N/A</v>
      </c>
      <c r="Q460" s="29">
        <f>10.1</f>
        <v>10.1</v>
      </c>
      <c r="R460" s="43">
        <v>14.9</v>
      </c>
      <c r="S460" s="32">
        <f t="shared" si="38"/>
        <v>0.10370370370370373</v>
      </c>
      <c r="T460" s="54" t="e">
        <f>VLOOKUP(A460,[1]인포맥스!$A:$I,9,0)</f>
        <v>#N/A</v>
      </c>
      <c r="U460" s="70" t="e">
        <f t="shared" si="39"/>
        <v>#N/A</v>
      </c>
    </row>
    <row r="461" spans="1:21" x14ac:dyDescent="0.25">
      <c r="A461" s="3">
        <v>30406</v>
      </c>
      <c r="B461" s="29" t="e">
        <f>NA()</f>
        <v>#N/A</v>
      </c>
      <c r="C461" s="29" t="e">
        <v>#N/A</v>
      </c>
      <c r="D461" s="50">
        <f>53.9</f>
        <v>53.9</v>
      </c>
      <c r="E461" s="30">
        <v>53.9</v>
      </c>
      <c r="F461" s="29">
        <f>6.2</f>
        <v>6.2</v>
      </c>
      <c r="G461" s="31" t="e">
        <v>#N/A</v>
      </c>
      <c r="H461" s="51" t="e">
        <f t="shared" si="36"/>
        <v>#N/A</v>
      </c>
      <c r="I461" s="29">
        <f>1.1</f>
        <v>1.1000000000000001</v>
      </c>
      <c r="J461" s="31">
        <v>51.37</v>
      </c>
      <c r="K461" s="51">
        <f t="shared" si="37"/>
        <v>1.1220472440944889E-2</v>
      </c>
      <c r="L461" s="29">
        <f>4.7</f>
        <v>4.7</v>
      </c>
      <c r="M461" s="30">
        <v>4.7</v>
      </c>
      <c r="N461" s="29" t="e">
        <f>NA()</f>
        <v>#N/A</v>
      </c>
      <c r="O461" s="29" t="e">
        <v>#N/A</v>
      </c>
      <c r="P461" s="51" t="e">
        <f t="shared" si="35"/>
        <v>#N/A</v>
      </c>
      <c r="Q461" s="29">
        <f>10.3</f>
        <v>10.3</v>
      </c>
      <c r="R461" s="43">
        <v>14.9</v>
      </c>
      <c r="S461" s="32">
        <f t="shared" si="38"/>
        <v>0.11194029850746269</v>
      </c>
      <c r="T461" s="54" t="e">
        <f>VLOOKUP(A461,[1]인포맥스!$A:$I,9,0)</f>
        <v>#N/A</v>
      </c>
      <c r="U461" s="70" t="e">
        <f t="shared" si="39"/>
        <v>#N/A</v>
      </c>
    </row>
    <row r="462" spans="1:21" x14ac:dyDescent="0.25">
      <c r="A462" s="3">
        <v>30375</v>
      </c>
      <c r="B462" s="29" t="e">
        <f>NA()</f>
        <v>#N/A</v>
      </c>
      <c r="C462" s="29" t="e">
        <v>#N/A</v>
      </c>
      <c r="D462" s="50">
        <f>54.4</f>
        <v>54.4</v>
      </c>
      <c r="E462" s="30">
        <v>54.4</v>
      </c>
      <c r="F462" s="29">
        <f>0</f>
        <v>0</v>
      </c>
      <c r="G462" s="31" t="e">
        <v>#N/A</v>
      </c>
      <c r="H462" s="51" t="e">
        <f t="shared" si="36"/>
        <v>#N/A</v>
      </c>
      <c r="I462" s="29">
        <f>1.2</f>
        <v>1.2</v>
      </c>
      <c r="J462" s="31">
        <v>51.53</v>
      </c>
      <c r="K462" s="51">
        <f t="shared" si="37"/>
        <v>1.1780875711761269E-2</v>
      </c>
      <c r="L462" s="29">
        <f>5.3</f>
        <v>5.3</v>
      </c>
      <c r="M462" s="30">
        <v>5.3</v>
      </c>
      <c r="N462" s="29" t="e">
        <f>NA()</f>
        <v>#N/A</v>
      </c>
      <c r="O462" s="29" t="e">
        <v>#N/A</v>
      </c>
      <c r="P462" s="51" t="e">
        <f t="shared" si="35"/>
        <v>#N/A</v>
      </c>
      <c r="Q462" s="29">
        <f>10.2</f>
        <v>10.199999999999999</v>
      </c>
      <c r="R462" s="43">
        <v>14.8</v>
      </c>
      <c r="S462" s="32">
        <f t="shared" si="38"/>
        <v>0.11278195488721804</v>
      </c>
      <c r="T462" s="54" t="e">
        <f>VLOOKUP(A462,[1]인포맥스!$A:$I,9,0)</f>
        <v>#N/A</v>
      </c>
      <c r="U462" s="70" t="e">
        <f t="shared" si="39"/>
        <v>#N/A</v>
      </c>
    </row>
    <row r="463" spans="1:21" x14ac:dyDescent="0.25">
      <c r="A463" s="3">
        <v>30347</v>
      </c>
      <c r="B463" s="29" t="e">
        <f>NA()</f>
        <v>#N/A</v>
      </c>
      <c r="C463" s="29" t="e">
        <v>#N/A</v>
      </c>
      <c r="D463" s="50">
        <f>46</f>
        <v>46</v>
      </c>
      <c r="E463" s="30">
        <v>46</v>
      </c>
      <c r="F463" s="29">
        <f>-11.8</f>
        <v>-11.8</v>
      </c>
      <c r="G463" s="31" t="e">
        <v>#N/A</v>
      </c>
      <c r="H463" s="51" t="e">
        <f t="shared" si="36"/>
        <v>#N/A</v>
      </c>
      <c r="I463" s="29">
        <f>2.1</f>
        <v>2.1</v>
      </c>
      <c r="J463" s="31">
        <v>51.62</v>
      </c>
      <c r="K463" s="51">
        <f t="shared" si="37"/>
        <v>2.0965189873417625E-2</v>
      </c>
      <c r="L463" s="29">
        <f>5.1</f>
        <v>5.0999999999999996</v>
      </c>
      <c r="M463" s="30">
        <v>5.0999999999999996</v>
      </c>
      <c r="N463" s="29" t="e">
        <f>NA()</f>
        <v>#N/A</v>
      </c>
      <c r="O463" s="29" t="e">
        <v>#N/A</v>
      </c>
      <c r="P463" s="51" t="e">
        <f t="shared" si="35"/>
        <v>#N/A</v>
      </c>
      <c r="Q463" s="29">
        <f>9.9</f>
        <v>9.9</v>
      </c>
      <c r="R463" s="43">
        <v>14.6</v>
      </c>
      <c r="S463" s="32">
        <f t="shared" si="38"/>
        <v>0.10606060606060609</v>
      </c>
      <c r="T463" s="54" t="e">
        <f>VLOOKUP(A463,[1]인포맥스!$A:$I,9,0)</f>
        <v>#N/A</v>
      </c>
      <c r="U463" s="70" t="e">
        <f t="shared" si="39"/>
        <v>#N/A</v>
      </c>
    </row>
    <row r="464" spans="1:21" x14ac:dyDescent="0.25">
      <c r="A464" s="3">
        <v>30316</v>
      </c>
      <c r="B464" s="29" t="e">
        <f>NA()</f>
        <v>#N/A</v>
      </c>
      <c r="C464" s="29" t="e">
        <v>#N/A</v>
      </c>
      <c r="D464" s="50">
        <f>42.8</f>
        <v>42.8</v>
      </c>
      <c r="E464" s="30">
        <v>42.8</v>
      </c>
      <c r="F464" s="29">
        <f>-0.9</f>
        <v>-0.9</v>
      </c>
      <c r="G464" s="31" t="e">
        <v>#N/A</v>
      </c>
      <c r="H464" s="51" t="e">
        <f t="shared" si="36"/>
        <v>#N/A</v>
      </c>
      <c r="I464" s="29">
        <f>2.3</f>
        <v>2.2999999999999998</v>
      </c>
      <c r="J464" s="31">
        <v>51.41</v>
      </c>
      <c r="K464" s="51">
        <f t="shared" si="37"/>
        <v>2.3491937089388806E-2</v>
      </c>
      <c r="L464" s="29">
        <f>4.8</f>
        <v>4.8</v>
      </c>
      <c r="M464" s="30">
        <v>4.8</v>
      </c>
      <c r="N464" s="29" t="e">
        <f>NA()</f>
        <v>#N/A</v>
      </c>
      <c r="O464" s="29" t="e">
        <v>#N/A</v>
      </c>
      <c r="P464" s="51" t="e">
        <f t="shared" si="35"/>
        <v>#N/A</v>
      </c>
      <c r="Q464" s="29">
        <f>9.1</f>
        <v>9.1</v>
      </c>
      <c r="R464" s="43">
        <v>14.4</v>
      </c>
      <c r="S464" s="32">
        <f t="shared" si="38"/>
        <v>9.0909090909090995E-2</v>
      </c>
      <c r="T464" s="54" t="e">
        <f>VLOOKUP(A464,[1]인포맥스!$A:$I,9,0)</f>
        <v>#N/A</v>
      </c>
      <c r="U464" s="70" t="e">
        <f t="shared" si="39"/>
        <v>#N/A</v>
      </c>
    </row>
    <row r="465" spans="1:21" x14ac:dyDescent="0.25">
      <c r="A465" s="3">
        <v>30285</v>
      </c>
      <c r="B465" s="29" t="e">
        <f>NA()</f>
        <v>#N/A</v>
      </c>
      <c r="C465" s="29" t="e">
        <v>#N/A</v>
      </c>
      <c r="D465" s="50">
        <f>39.2</f>
        <v>39.200000000000003</v>
      </c>
      <c r="E465" s="30">
        <v>39.200000000000003</v>
      </c>
      <c r="F465" s="29">
        <f>-10.1</f>
        <v>-10.1</v>
      </c>
      <c r="G465" s="31" t="e">
        <v>#N/A</v>
      </c>
      <c r="H465" s="51" t="e">
        <f t="shared" si="36"/>
        <v>#N/A</v>
      </c>
      <c r="I465" s="29">
        <f>3.1</f>
        <v>3.1</v>
      </c>
      <c r="J465" s="31">
        <v>51.2</v>
      </c>
      <c r="K465" s="51">
        <f t="shared" si="37"/>
        <v>3.0803301791826075E-2</v>
      </c>
      <c r="L465" s="29">
        <f>4.2</f>
        <v>4.2</v>
      </c>
      <c r="M465" s="30">
        <v>4.2</v>
      </c>
      <c r="N465" s="29" t="e">
        <f>NA()</f>
        <v>#N/A</v>
      </c>
      <c r="O465" s="29" t="e">
        <v>#N/A</v>
      </c>
      <c r="P465" s="51" t="e">
        <f t="shared" si="35"/>
        <v>#N/A</v>
      </c>
      <c r="Q465" s="29">
        <f>8.8</f>
        <v>8.8000000000000007</v>
      </c>
      <c r="R465" s="43">
        <v>14.3</v>
      </c>
      <c r="S465" s="32">
        <f t="shared" si="38"/>
        <v>9.1603053435114587E-2</v>
      </c>
      <c r="T465" s="54" t="e">
        <f>VLOOKUP(A465,[1]인포맥스!$A:$I,9,0)</f>
        <v>#N/A</v>
      </c>
      <c r="U465" s="70" t="e">
        <f t="shared" si="39"/>
        <v>#N/A</v>
      </c>
    </row>
    <row r="466" spans="1:21" x14ac:dyDescent="0.25">
      <c r="A466" s="3">
        <v>30255</v>
      </c>
      <c r="B466" s="29" t="e">
        <f>NA()</f>
        <v>#N/A</v>
      </c>
      <c r="C466" s="29" t="e">
        <v>#N/A</v>
      </c>
      <c r="D466" s="50">
        <f>39.4</f>
        <v>39.4</v>
      </c>
      <c r="E466" s="30">
        <v>39.4</v>
      </c>
      <c r="F466" s="29">
        <f>11.8</f>
        <v>11.8</v>
      </c>
      <c r="G466" s="31" t="e">
        <v>#N/A</v>
      </c>
      <c r="H466" s="51" t="e">
        <f t="shared" si="36"/>
        <v>#N/A</v>
      </c>
      <c r="I466" s="29">
        <f>1.9</f>
        <v>1.9</v>
      </c>
      <c r="J466" s="31">
        <v>51.2</v>
      </c>
      <c r="K466" s="51">
        <f t="shared" si="37"/>
        <v>1.9311168624328211E-2</v>
      </c>
      <c r="L466" s="29">
        <f>3.9</f>
        <v>3.9</v>
      </c>
      <c r="M466" s="30">
        <v>3.9</v>
      </c>
      <c r="N466" s="29" t="e">
        <f>NA()</f>
        <v>#N/A</v>
      </c>
      <c r="O466" s="29" t="e">
        <v>#N/A</v>
      </c>
      <c r="P466" s="51" t="e">
        <f t="shared" si="35"/>
        <v>#N/A</v>
      </c>
      <c r="Q466" s="29">
        <f>8.4</f>
        <v>8.4</v>
      </c>
      <c r="R466" s="43">
        <v>14.2</v>
      </c>
      <c r="S466" s="32">
        <f t="shared" si="38"/>
        <v>8.3969465648854935E-2</v>
      </c>
      <c r="T466" s="54" t="e">
        <f>VLOOKUP(A466,[1]인포맥스!$A:$I,9,0)</f>
        <v>#N/A</v>
      </c>
      <c r="U466" s="70" t="e">
        <f t="shared" si="39"/>
        <v>#N/A</v>
      </c>
    </row>
    <row r="467" spans="1:21" x14ac:dyDescent="0.25">
      <c r="A467" s="3">
        <v>30224</v>
      </c>
      <c r="B467" s="29" t="e">
        <f>NA()</f>
        <v>#N/A</v>
      </c>
      <c r="C467" s="29" t="e">
        <v>#N/A</v>
      </c>
      <c r="D467" s="50">
        <f>38.8</f>
        <v>38.799999999999997</v>
      </c>
      <c r="E467" s="30">
        <v>38.799999999999997</v>
      </c>
      <c r="F467" s="29">
        <f>10.6</f>
        <v>10.6</v>
      </c>
      <c r="G467" s="31" t="e">
        <v>#N/A</v>
      </c>
      <c r="H467" s="51" t="e">
        <f t="shared" si="36"/>
        <v>#N/A</v>
      </c>
      <c r="I467" s="29">
        <f>1.9</f>
        <v>1.9</v>
      </c>
      <c r="J467" s="31">
        <v>51.24</v>
      </c>
      <c r="K467" s="51">
        <f t="shared" si="37"/>
        <v>1.9295802665605707E-2</v>
      </c>
      <c r="L467" s="29">
        <f>3.9</f>
        <v>3.9</v>
      </c>
      <c r="M467" s="30">
        <v>3.9</v>
      </c>
      <c r="N467" s="29" t="e">
        <f>NA()</f>
        <v>#N/A</v>
      </c>
      <c r="O467" s="29" t="e">
        <v>#N/A</v>
      </c>
      <c r="P467" s="51" t="e">
        <f t="shared" si="35"/>
        <v>#N/A</v>
      </c>
      <c r="Q467" s="29">
        <f>8.2</f>
        <v>8.1999999999999993</v>
      </c>
      <c r="R467" s="43">
        <v>14.1</v>
      </c>
      <c r="S467" s="32">
        <f t="shared" si="38"/>
        <v>8.4615384615384592E-2</v>
      </c>
      <c r="T467" s="54" t="e">
        <f>VLOOKUP(A467,[1]인포맥스!$A:$I,9,0)</f>
        <v>#N/A</v>
      </c>
      <c r="U467" s="70" t="e">
        <f t="shared" si="39"/>
        <v>#N/A</v>
      </c>
    </row>
    <row r="468" spans="1:21" x14ac:dyDescent="0.25">
      <c r="A468" s="3">
        <v>30194</v>
      </c>
      <c r="B468" s="29" t="e">
        <f>NA()</f>
        <v>#N/A</v>
      </c>
      <c r="C468" s="29" t="e">
        <v>#N/A</v>
      </c>
      <c r="D468" s="50">
        <f>38.3</f>
        <v>38.299999999999997</v>
      </c>
      <c r="E468" s="30">
        <v>38.299999999999997</v>
      </c>
      <c r="F468" s="29">
        <f>2.5</f>
        <v>2.5</v>
      </c>
      <c r="G468" s="31" t="e">
        <v>#N/A</v>
      </c>
      <c r="H468" s="51" t="e">
        <f t="shared" si="36"/>
        <v>#N/A</v>
      </c>
      <c r="I468" s="29">
        <f>2.1</f>
        <v>2.1</v>
      </c>
      <c r="J468" s="31">
        <v>51.05</v>
      </c>
      <c r="K468" s="51">
        <f t="shared" si="37"/>
        <v>2.0999999999999942E-2</v>
      </c>
      <c r="L468" s="29">
        <f>4.8</f>
        <v>4.8</v>
      </c>
      <c r="M468" s="30">
        <v>4.8</v>
      </c>
      <c r="N468" s="29" t="e">
        <f>NA()</f>
        <v>#N/A</v>
      </c>
      <c r="O468" s="29" t="e">
        <v>#N/A</v>
      </c>
      <c r="P468" s="51" t="e">
        <f t="shared" si="35"/>
        <v>#N/A</v>
      </c>
      <c r="Q468" s="29">
        <f>7.8</f>
        <v>7.8</v>
      </c>
      <c r="R468" s="43">
        <v>13.9</v>
      </c>
      <c r="S468" s="32">
        <f t="shared" si="38"/>
        <v>7.7519379844961239E-2</v>
      </c>
      <c r="T468" s="54" t="e">
        <f>VLOOKUP(A468,[1]인포맥스!$A:$I,9,0)</f>
        <v>#N/A</v>
      </c>
      <c r="U468" s="70" t="e">
        <f t="shared" si="39"/>
        <v>#N/A</v>
      </c>
    </row>
    <row r="469" spans="1:21" x14ac:dyDescent="0.25">
      <c r="A469" s="3">
        <v>30163</v>
      </c>
      <c r="B469" s="29" t="e">
        <f>NA()</f>
        <v>#N/A</v>
      </c>
      <c r="C469" s="29" t="e">
        <v>#N/A</v>
      </c>
      <c r="D469" s="50">
        <f>38.4</f>
        <v>38.4</v>
      </c>
      <c r="E469" s="30">
        <v>38.4</v>
      </c>
      <c r="F469" s="29">
        <f>-4.4</f>
        <v>-4.4000000000000004</v>
      </c>
      <c r="G469" s="31" t="e">
        <v>#N/A</v>
      </c>
      <c r="H469" s="51" t="e">
        <f t="shared" si="36"/>
        <v>#N/A</v>
      </c>
      <c r="I469" s="29">
        <f>2.9</f>
        <v>2.9</v>
      </c>
      <c r="J469" s="31">
        <v>51.14</v>
      </c>
      <c r="K469" s="51">
        <f t="shared" si="37"/>
        <v>2.8766847716757186E-2</v>
      </c>
      <c r="L469" s="29">
        <f>5.6</f>
        <v>5.6</v>
      </c>
      <c r="M469" s="30">
        <v>5.6</v>
      </c>
      <c r="N469" s="29" t="e">
        <f>NA()</f>
        <v>#N/A</v>
      </c>
      <c r="O469" s="29" t="e">
        <v>#N/A</v>
      </c>
      <c r="P469" s="51" t="e">
        <f t="shared" si="35"/>
        <v>#N/A</v>
      </c>
      <c r="Q469" s="29">
        <f>7.6</f>
        <v>7.6</v>
      </c>
      <c r="R469" s="43">
        <v>13.8</v>
      </c>
      <c r="S469" s="32">
        <f t="shared" si="38"/>
        <v>7.8125E-2</v>
      </c>
      <c r="T469" s="54" t="e">
        <f>VLOOKUP(A469,[1]인포맥스!$A:$I,9,0)</f>
        <v>#N/A</v>
      </c>
      <c r="U469" s="70" t="e">
        <f t="shared" si="39"/>
        <v>#N/A</v>
      </c>
    </row>
    <row r="470" spans="1:21" x14ac:dyDescent="0.25">
      <c r="A470" s="3">
        <v>30132</v>
      </c>
      <c r="B470" s="29" t="e">
        <f>NA()</f>
        <v>#N/A</v>
      </c>
      <c r="C470" s="29" t="e">
        <v>#N/A</v>
      </c>
      <c r="D470" s="50">
        <f>38.3</f>
        <v>38.299999999999997</v>
      </c>
      <c r="E470" s="30">
        <v>38.299999999999997</v>
      </c>
      <c r="F470" s="29">
        <f>-4.7</f>
        <v>-4.7</v>
      </c>
      <c r="G470" s="31" t="e">
        <v>#N/A</v>
      </c>
      <c r="H470" s="51" t="e">
        <f t="shared" si="36"/>
        <v>#N/A</v>
      </c>
      <c r="I470" s="29">
        <f>2.7</f>
        <v>2.7</v>
      </c>
      <c r="J470" s="31">
        <v>50.93</v>
      </c>
      <c r="K470" s="51">
        <f t="shared" si="37"/>
        <v>2.7021576930832753E-2</v>
      </c>
      <c r="L470" s="29">
        <f>6.4</f>
        <v>6.4</v>
      </c>
      <c r="M470" s="30">
        <v>6.4</v>
      </c>
      <c r="N470" s="29" t="e">
        <f>NA()</f>
        <v>#N/A</v>
      </c>
      <c r="O470" s="29" t="e">
        <v>#N/A</v>
      </c>
      <c r="P470" s="51" t="e">
        <f t="shared" si="35"/>
        <v>#N/A</v>
      </c>
      <c r="Q470" s="29">
        <f>7.3</f>
        <v>7.3</v>
      </c>
      <c r="R470" s="43">
        <v>13.6</v>
      </c>
      <c r="S470" s="32">
        <f t="shared" si="38"/>
        <v>7.0866141732283491E-2</v>
      </c>
      <c r="T470" s="54" t="e">
        <f>VLOOKUP(A470,[1]인포맥스!$A:$I,9,0)</f>
        <v>#N/A</v>
      </c>
      <c r="U470" s="70" t="e">
        <f t="shared" si="39"/>
        <v>#N/A</v>
      </c>
    </row>
    <row r="471" spans="1:21" x14ac:dyDescent="0.25">
      <c r="A471" s="3">
        <v>30102</v>
      </c>
      <c r="B471" s="29" t="e">
        <f>NA()</f>
        <v>#N/A</v>
      </c>
      <c r="C471" s="29" t="e">
        <v>#N/A</v>
      </c>
      <c r="D471" s="50">
        <f>35.5</f>
        <v>35.5</v>
      </c>
      <c r="E471" s="30">
        <v>35.5</v>
      </c>
      <c r="F471" s="29">
        <f>9.6</f>
        <v>9.6</v>
      </c>
      <c r="G471" s="31" t="e">
        <v>#N/A</v>
      </c>
      <c r="H471" s="51" t="e">
        <f t="shared" si="36"/>
        <v>#N/A</v>
      </c>
      <c r="I471" s="29">
        <f>3.8</f>
        <v>3.8</v>
      </c>
      <c r="J471" s="31">
        <v>50.97</v>
      </c>
      <c r="K471" s="51">
        <f t="shared" si="37"/>
        <v>3.8085539714867563E-2</v>
      </c>
      <c r="L471" s="29">
        <f>8.6</f>
        <v>8.6</v>
      </c>
      <c r="M471" s="30">
        <v>8.6</v>
      </c>
      <c r="N471" s="29" t="e">
        <f>NA()</f>
        <v>#N/A</v>
      </c>
      <c r="O471" s="29" t="e">
        <v>#N/A</v>
      </c>
      <c r="P471" s="51" t="e">
        <f t="shared" si="35"/>
        <v>#N/A</v>
      </c>
      <c r="Q471" s="29">
        <f>7.7</f>
        <v>7.7</v>
      </c>
      <c r="R471" s="43">
        <v>13.6</v>
      </c>
      <c r="S471" s="32">
        <f t="shared" si="38"/>
        <v>7.9365079365079361E-2</v>
      </c>
      <c r="T471" s="54" t="e">
        <f>VLOOKUP(A471,[1]인포맥스!$A:$I,9,0)</f>
        <v>#N/A</v>
      </c>
      <c r="U471" s="70" t="e">
        <f t="shared" si="39"/>
        <v>#N/A</v>
      </c>
    </row>
    <row r="472" spans="1:21" x14ac:dyDescent="0.25">
      <c r="A472" s="3">
        <v>30071</v>
      </c>
      <c r="B472" s="29" t="e">
        <f>NA()</f>
        <v>#N/A</v>
      </c>
      <c r="C472" s="29" t="e">
        <v>#N/A</v>
      </c>
      <c r="D472" s="50">
        <f>37.8</f>
        <v>37.799999999999997</v>
      </c>
      <c r="E472" s="30">
        <v>37.799999999999997</v>
      </c>
      <c r="F472" s="29">
        <f>1.5</f>
        <v>1.5</v>
      </c>
      <c r="G472" s="31" t="e">
        <v>#N/A</v>
      </c>
      <c r="H472" s="51" t="e">
        <f t="shared" si="36"/>
        <v>#N/A</v>
      </c>
      <c r="I472" s="29">
        <f>6.5</f>
        <v>6.5</v>
      </c>
      <c r="J472" s="31">
        <v>50.84</v>
      </c>
      <c r="K472" s="51">
        <f t="shared" si="37"/>
        <v>6.5158181437251342E-2</v>
      </c>
      <c r="L472" s="29">
        <f>10.2</f>
        <v>10.199999999999999</v>
      </c>
      <c r="M472" s="30">
        <v>10.199999999999999</v>
      </c>
      <c r="N472" s="29" t="e">
        <f>NA()</f>
        <v>#N/A</v>
      </c>
      <c r="O472" s="29" t="e">
        <v>#N/A</v>
      </c>
      <c r="P472" s="51" t="e">
        <f t="shared" si="35"/>
        <v>#N/A</v>
      </c>
      <c r="Q472" s="29">
        <f>7.9</f>
        <v>7.9</v>
      </c>
      <c r="R472" s="43">
        <v>13.5</v>
      </c>
      <c r="S472" s="32">
        <f t="shared" si="38"/>
        <v>8.8709677419354802E-2</v>
      </c>
      <c r="T472" s="54" t="e">
        <f>VLOOKUP(A472,[1]인포맥스!$A:$I,9,0)</f>
        <v>#N/A</v>
      </c>
      <c r="U472" s="70" t="e">
        <f t="shared" si="39"/>
        <v>#N/A</v>
      </c>
    </row>
    <row r="473" spans="1:21" x14ac:dyDescent="0.25">
      <c r="A473" s="3">
        <v>30041</v>
      </c>
      <c r="B473" s="29" t="e">
        <f>NA()</f>
        <v>#N/A</v>
      </c>
      <c r="C473" s="29" t="e">
        <v>#N/A</v>
      </c>
      <c r="D473" s="50">
        <f>36.8</f>
        <v>36.799999999999997</v>
      </c>
      <c r="E473" s="30">
        <v>36.799999999999997</v>
      </c>
      <c r="F473" s="29">
        <f>5.6</f>
        <v>5.6</v>
      </c>
      <c r="G473" s="31" t="e">
        <v>#N/A</v>
      </c>
      <c r="H473" s="51" t="e">
        <f t="shared" si="36"/>
        <v>#N/A</v>
      </c>
      <c r="I473" s="29">
        <f>9.1</f>
        <v>9.1</v>
      </c>
      <c r="J473" s="31">
        <v>50.8</v>
      </c>
      <c r="K473" s="51">
        <f t="shared" si="37"/>
        <v>9.129967776584319E-2</v>
      </c>
      <c r="L473" s="29">
        <f>11</f>
        <v>11</v>
      </c>
      <c r="M473" s="30">
        <v>11</v>
      </c>
      <c r="N473" s="29" t="e">
        <f>NA()</f>
        <v>#N/A</v>
      </c>
      <c r="O473" s="29" t="e">
        <v>#N/A</v>
      </c>
      <c r="P473" s="51" t="e">
        <f t="shared" si="35"/>
        <v>#N/A</v>
      </c>
      <c r="Q473" s="29">
        <f>8.3</f>
        <v>8.3000000000000007</v>
      </c>
      <c r="R473" s="43">
        <v>13.4</v>
      </c>
      <c r="S473" s="32">
        <f t="shared" si="38"/>
        <v>8.9430894308943049E-2</v>
      </c>
      <c r="T473" s="54" t="e">
        <f>VLOOKUP(A473,[1]인포맥스!$A:$I,9,0)</f>
        <v>#N/A</v>
      </c>
      <c r="U473" s="70" t="e">
        <f t="shared" si="39"/>
        <v>#N/A</v>
      </c>
    </row>
    <row r="474" spans="1:21" x14ac:dyDescent="0.25">
      <c r="A474" s="3">
        <v>30010</v>
      </c>
      <c r="B474" s="29" t="e">
        <f>NA()</f>
        <v>#N/A</v>
      </c>
      <c r="C474" s="29" t="e">
        <v>#N/A</v>
      </c>
      <c r="D474" s="50">
        <f>38.3</f>
        <v>38.299999999999997</v>
      </c>
      <c r="E474" s="30">
        <v>38.299999999999997</v>
      </c>
      <c r="F474" s="29">
        <f>4.5</f>
        <v>4.5</v>
      </c>
      <c r="G474" s="31" t="e">
        <v>#N/A</v>
      </c>
      <c r="H474" s="51" t="e">
        <f t="shared" si="36"/>
        <v>#N/A</v>
      </c>
      <c r="I474" s="29">
        <f>10.5</f>
        <v>10.5</v>
      </c>
      <c r="J474" s="31">
        <v>50.93</v>
      </c>
      <c r="K474" s="51">
        <f t="shared" si="37"/>
        <v>0.10477223427331883</v>
      </c>
      <c r="L474" s="29">
        <f>12</f>
        <v>12</v>
      </c>
      <c r="M474" s="30">
        <v>12</v>
      </c>
      <c r="N474" s="29" t="e">
        <f>NA()</f>
        <v>#N/A</v>
      </c>
      <c r="O474" s="29" t="e">
        <v>#N/A</v>
      </c>
      <c r="P474" s="51" t="e">
        <f t="shared" si="35"/>
        <v>#N/A</v>
      </c>
      <c r="Q474" s="29">
        <f>8.4</f>
        <v>8.4</v>
      </c>
      <c r="R474" s="43">
        <v>13.3</v>
      </c>
      <c r="S474" s="32">
        <f t="shared" si="38"/>
        <v>9.0163934426229636E-2</v>
      </c>
      <c r="T474" s="54" t="e">
        <f>VLOOKUP(A474,[1]인포맥스!$A:$I,9,0)</f>
        <v>#N/A</v>
      </c>
      <c r="U474" s="70" t="e">
        <f t="shared" si="39"/>
        <v>#N/A</v>
      </c>
    </row>
    <row r="475" spans="1:21" x14ac:dyDescent="0.25">
      <c r="A475" s="3">
        <v>29982</v>
      </c>
      <c r="B475" s="29" t="e">
        <f>NA()</f>
        <v>#N/A</v>
      </c>
      <c r="C475" s="29" t="e">
        <v>#N/A</v>
      </c>
      <c r="D475" s="50">
        <f>38.2</f>
        <v>38.200000000000003</v>
      </c>
      <c r="E475" s="30">
        <v>38.200000000000003</v>
      </c>
      <c r="F475" s="29">
        <f>7.8</f>
        <v>7.8</v>
      </c>
      <c r="G475" s="31" t="e">
        <v>#N/A</v>
      </c>
      <c r="H475" s="51" t="e">
        <f t="shared" si="36"/>
        <v>#N/A</v>
      </c>
      <c r="I475" s="29">
        <f>10.5</f>
        <v>10.5</v>
      </c>
      <c r="J475" s="31">
        <v>50.56</v>
      </c>
      <c r="K475" s="51">
        <f t="shared" si="37"/>
        <v>0.10513661202185798</v>
      </c>
      <c r="L475" s="29">
        <f>12.4</f>
        <v>12.4</v>
      </c>
      <c r="M475" s="30">
        <v>12.4</v>
      </c>
      <c r="N475" s="29" t="e">
        <f>NA()</f>
        <v>#N/A</v>
      </c>
      <c r="O475" s="29" t="e">
        <v>#N/A</v>
      </c>
      <c r="P475" s="51" t="e">
        <f t="shared" si="35"/>
        <v>#N/A</v>
      </c>
      <c r="Q475" s="29">
        <f>8.9</f>
        <v>8.9</v>
      </c>
      <c r="R475" s="43">
        <v>13.2</v>
      </c>
      <c r="S475" s="32">
        <f t="shared" si="38"/>
        <v>9.0909090909090884E-2</v>
      </c>
      <c r="T475" s="54" t="e">
        <f>VLOOKUP(A475,[1]인포맥스!$A:$I,9,0)</f>
        <v>#N/A</v>
      </c>
      <c r="U475" s="70" t="e">
        <f t="shared" si="39"/>
        <v>#N/A</v>
      </c>
    </row>
    <row r="476" spans="1:21" x14ac:dyDescent="0.25">
      <c r="A476" s="3">
        <v>29951</v>
      </c>
      <c r="B476" s="29" t="e">
        <f>NA()</f>
        <v>#N/A</v>
      </c>
      <c r="C476" s="29" t="e">
        <v>#N/A</v>
      </c>
      <c r="D476" s="50">
        <f>37.8</f>
        <v>37.799999999999997</v>
      </c>
      <c r="E476" s="30">
        <v>37.799999999999997</v>
      </c>
      <c r="F476" s="29">
        <f>8.3</f>
        <v>8.3000000000000007</v>
      </c>
      <c r="G476" s="31" t="e">
        <v>#N/A</v>
      </c>
      <c r="H476" s="51" t="e">
        <f t="shared" si="36"/>
        <v>#N/A</v>
      </c>
      <c r="I476" s="29">
        <f>11.4</f>
        <v>11.4</v>
      </c>
      <c r="J476" s="31">
        <v>50.23</v>
      </c>
      <c r="K476" s="51">
        <f t="shared" si="37"/>
        <v>0.11399423375471264</v>
      </c>
      <c r="L476" s="29">
        <f>13.7</f>
        <v>13.7</v>
      </c>
      <c r="M476" s="30">
        <v>13.7</v>
      </c>
      <c r="N476" s="29" t="e">
        <f>NA()</f>
        <v>#N/A</v>
      </c>
      <c r="O476" s="29" t="e">
        <v>#N/A</v>
      </c>
      <c r="P476" s="51" t="e">
        <f t="shared" si="35"/>
        <v>#N/A</v>
      </c>
      <c r="Q476" s="29">
        <f>9.4</f>
        <v>9.4</v>
      </c>
      <c r="R476" s="43">
        <v>13.2</v>
      </c>
      <c r="S476" s="32">
        <f t="shared" si="38"/>
        <v>0.1092436974789915</v>
      </c>
      <c r="T476" s="54" t="e">
        <f>VLOOKUP(A476,[1]인포맥스!$A:$I,9,0)</f>
        <v>#N/A</v>
      </c>
      <c r="U476" s="70" t="e">
        <f t="shared" si="39"/>
        <v>#N/A</v>
      </c>
    </row>
    <row r="477" spans="1:21" x14ac:dyDescent="0.25">
      <c r="A477" s="3">
        <v>29920</v>
      </c>
      <c r="B477" s="29" t="e">
        <f>NA()</f>
        <v>#N/A</v>
      </c>
      <c r="C477" s="29" t="e">
        <v>#N/A</v>
      </c>
      <c r="D477" s="50">
        <f>36.1</f>
        <v>36.1</v>
      </c>
      <c r="E477" s="30">
        <v>36.1</v>
      </c>
      <c r="F477" s="29">
        <f>3.7</f>
        <v>3.7</v>
      </c>
      <c r="G477" s="31" t="e">
        <v>#N/A</v>
      </c>
      <c r="H477" s="51" t="e">
        <f t="shared" si="36"/>
        <v>#N/A</v>
      </c>
      <c r="I477" s="29">
        <f>14.4</f>
        <v>14.4</v>
      </c>
      <c r="J477" s="31">
        <v>49.67</v>
      </c>
      <c r="K477" s="51">
        <f t="shared" si="37"/>
        <v>0.14367948422749258</v>
      </c>
      <c r="L477" s="29">
        <f>16.6</f>
        <v>16.600000000000001</v>
      </c>
      <c r="M477" s="30">
        <v>16.600000000000001</v>
      </c>
      <c r="N477" s="29" t="e">
        <f>NA()</f>
        <v>#N/A</v>
      </c>
      <c r="O477" s="29" t="e">
        <v>#N/A</v>
      </c>
      <c r="P477" s="51" t="e">
        <f t="shared" si="35"/>
        <v>#N/A</v>
      </c>
      <c r="Q477" s="29">
        <f>10.2</f>
        <v>10.199999999999999</v>
      </c>
      <c r="R477" s="43">
        <v>13.1</v>
      </c>
      <c r="S477" s="32">
        <f t="shared" si="38"/>
        <v>0.11016949152542363</v>
      </c>
      <c r="T477" s="54" t="e">
        <f>VLOOKUP(A477,[1]인포맥스!$A:$I,9,0)</f>
        <v>#N/A</v>
      </c>
      <c r="U477" s="70" t="e">
        <f t="shared" si="39"/>
        <v>#N/A</v>
      </c>
    </row>
    <row r="478" spans="1:21" x14ac:dyDescent="0.25">
      <c r="A478" s="3">
        <v>29890</v>
      </c>
      <c r="B478" s="29" t="e">
        <f>NA()</f>
        <v>#N/A</v>
      </c>
      <c r="C478" s="29" t="e">
        <v>#N/A</v>
      </c>
      <c r="D478" s="50">
        <f>40</f>
        <v>40</v>
      </c>
      <c r="E478" s="30">
        <v>40</v>
      </c>
      <c r="F478" s="29">
        <f>19.4</f>
        <v>19.399999999999999</v>
      </c>
      <c r="G478" s="31" t="e">
        <v>#N/A</v>
      </c>
      <c r="H478" s="51" t="e">
        <f t="shared" si="36"/>
        <v>#N/A</v>
      </c>
      <c r="I478" s="29">
        <f>17.4</f>
        <v>17.399999999999999</v>
      </c>
      <c r="J478" s="31">
        <v>50.23</v>
      </c>
      <c r="K478" s="51">
        <f t="shared" si="37"/>
        <v>0.17387240009347973</v>
      </c>
      <c r="L478" s="29">
        <f>18.3</f>
        <v>18.3</v>
      </c>
      <c r="M478" s="30">
        <v>18.3</v>
      </c>
      <c r="N478" s="29" t="e">
        <f>NA()</f>
        <v>#N/A</v>
      </c>
      <c r="O478" s="29" t="e">
        <v>#N/A</v>
      </c>
      <c r="P478" s="51" t="e">
        <f t="shared" si="35"/>
        <v>#N/A</v>
      </c>
      <c r="Q478" s="29">
        <f>10.8</f>
        <v>10.8</v>
      </c>
      <c r="R478" s="43">
        <v>13.1</v>
      </c>
      <c r="S478" s="32">
        <f t="shared" si="38"/>
        <v>0.11965811965811969</v>
      </c>
      <c r="T478" s="54" t="e">
        <f>VLOOKUP(A478,[1]인포맥스!$A:$I,9,0)</f>
        <v>#N/A</v>
      </c>
      <c r="U478" s="70" t="e">
        <f t="shared" si="39"/>
        <v>#N/A</v>
      </c>
    </row>
    <row r="479" spans="1:21" x14ac:dyDescent="0.25">
      <c r="A479" s="3">
        <v>29859</v>
      </c>
      <c r="B479" s="29" t="e">
        <f>NA()</f>
        <v>#N/A</v>
      </c>
      <c r="C479" s="29" t="e">
        <v>#N/A</v>
      </c>
      <c r="D479" s="50">
        <f>42.5</f>
        <v>42.5</v>
      </c>
      <c r="E479" s="30">
        <v>42.5</v>
      </c>
      <c r="F479" s="29">
        <f>21.9</f>
        <v>21.9</v>
      </c>
      <c r="G479" s="31" t="e">
        <v>#N/A</v>
      </c>
      <c r="H479" s="51" t="e">
        <f t="shared" si="36"/>
        <v>#N/A</v>
      </c>
      <c r="I479" s="29">
        <f>19.1</f>
        <v>19.100000000000001</v>
      </c>
      <c r="J479" s="31">
        <v>50.27</v>
      </c>
      <c r="K479" s="51">
        <f t="shared" si="37"/>
        <v>0.190667929891047</v>
      </c>
      <c r="L479" s="29">
        <f>21.9</f>
        <v>21.9</v>
      </c>
      <c r="M479" s="30">
        <v>21.9</v>
      </c>
      <c r="N479" s="29" t="e">
        <f>NA()</f>
        <v>#N/A</v>
      </c>
      <c r="O479" s="29" t="e">
        <v>#N/A</v>
      </c>
      <c r="P479" s="51" t="e">
        <f t="shared" si="35"/>
        <v>#N/A</v>
      </c>
      <c r="Q479" s="29">
        <f>11.1</f>
        <v>11.1</v>
      </c>
      <c r="R479" s="43">
        <v>13</v>
      </c>
      <c r="S479" s="32">
        <f t="shared" si="38"/>
        <v>0.12068965517241383</v>
      </c>
      <c r="T479" s="54" t="e">
        <f>VLOOKUP(A479,[1]인포맥스!$A:$I,9,0)</f>
        <v>#N/A</v>
      </c>
      <c r="U479" s="70" t="e">
        <f t="shared" si="39"/>
        <v>#N/A</v>
      </c>
    </row>
    <row r="480" spans="1:21" x14ac:dyDescent="0.25">
      <c r="A480" s="3">
        <v>29829</v>
      </c>
      <c r="B480" s="29" t="e">
        <f>NA()</f>
        <v>#N/A</v>
      </c>
      <c r="C480" s="29" t="e">
        <v>#N/A</v>
      </c>
      <c r="D480" s="50">
        <f>48.3</f>
        <v>48.3</v>
      </c>
      <c r="E480" s="30">
        <v>48.3</v>
      </c>
      <c r="F480" s="29">
        <f>18.4</f>
        <v>18.399999999999999</v>
      </c>
      <c r="G480" s="31" t="e">
        <v>#N/A</v>
      </c>
      <c r="H480" s="51" t="e">
        <f t="shared" si="36"/>
        <v>#N/A</v>
      </c>
      <c r="I480" s="29">
        <f>20.4</f>
        <v>20.399999999999999</v>
      </c>
      <c r="J480" s="31">
        <v>50</v>
      </c>
      <c r="K480" s="51">
        <f t="shared" si="37"/>
        <v>0.20365912373615794</v>
      </c>
      <c r="L480" s="29">
        <f>22.6</f>
        <v>22.6</v>
      </c>
      <c r="M480" s="30">
        <v>22.6</v>
      </c>
      <c r="N480" s="29" t="e">
        <f>NA()</f>
        <v>#N/A</v>
      </c>
      <c r="O480" s="29" t="e">
        <v>#N/A</v>
      </c>
      <c r="P480" s="51" t="e">
        <f t="shared" si="35"/>
        <v>#N/A</v>
      </c>
      <c r="Q480" s="29">
        <f>11.5</f>
        <v>11.5</v>
      </c>
      <c r="R480" s="43">
        <v>12.9</v>
      </c>
      <c r="S480" s="32">
        <f t="shared" si="38"/>
        <v>0.12173913043478264</v>
      </c>
      <c r="T480" s="54" t="e">
        <f>VLOOKUP(A480,[1]인포맥스!$A:$I,9,0)</f>
        <v>#N/A</v>
      </c>
      <c r="U480" s="70" t="e">
        <f t="shared" si="39"/>
        <v>#N/A</v>
      </c>
    </row>
    <row r="481" spans="1:21" x14ac:dyDescent="0.25">
      <c r="A481" s="3">
        <v>29798</v>
      </c>
      <c r="B481" s="29" t="e">
        <f>NA()</f>
        <v>#N/A</v>
      </c>
      <c r="C481" s="29" t="e">
        <v>#N/A</v>
      </c>
      <c r="D481" s="50">
        <f>46.7</f>
        <v>46.7</v>
      </c>
      <c r="E481" s="30">
        <v>46.7</v>
      </c>
      <c r="F481" s="29">
        <f>30.8</f>
        <v>30.8</v>
      </c>
      <c r="G481" s="31" t="e">
        <v>#N/A</v>
      </c>
      <c r="H481" s="51" t="e">
        <f t="shared" si="36"/>
        <v>#N/A</v>
      </c>
      <c r="I481" s="29">
        <f>22.3</f>
        <v>22.3</v>
      </c>
      <c r="J481" s="31">
        <v>49.71</v>
      </c>
      <c r="K481" s="51">
        <f t="shared" si="37"/>
        <v>0.22317913385826771</v>
      </c>
      <c r="L481" s="29">
        <f>23.4</f>
        <v>23.4</v>
      </c>
      <c r="M481" s="30">
        <v>23.4</v>
      </c>
      <c r="N481" s="29" t="e">
        <f>NA()</f>
        <v>#N/A</v>
      </c>
      <c r="O481" s="29" t="e">
        <v>#N/A</v>
      </c>
      <c r="P481" s="51" t="e">
        <f t="shared" si="35"/>
        <v>#N/A</v>
      </c>
      <c r="Q481" s="29">
        <f>11.8</f>
        <v>11.8</v>
      </c>
      <c r="R481" s="43">
        <v>12.8</v>
      </c>
      <c r="S481" s="32">
        <f t="shared" si="38"/>
        <v>0.12280701754385967</v>
      </c>
      <c r="T481" s="54" t="e">
        <f>VLOOKUP(A481,[1]인포맥스!$A:$I,9,0)</f>
        <v>#N/A</v>
      </c>
      <c r="U481" s="70" t="e">
        <f t="shared" si="39"/>
        <v>#N/A</v>
      </c>
    </row>
    <row r="482" spans="1:21" x14ac:dyDescent="0.25">
      <c r="A482" s="3">
        <v>29767</v>
      </c>
      <c r="B482" s="29" t="e">
        <f>NA()</f>
        <v>#N/A</v>
      </c>
      <c r="C482" s="29" t="e">
        <v>#N/A</v>
      </c>
      <c r="D482" s="50">
        <f>50.7</f>
        <v>50.7</v>
      </c>
      <c r="E482" s="30">
        <v>50.7</v>
      </c>
      <c r="F482" s="29">
        <f>32.4</f>
        <v>32.4</v>
      </c>
      <c r="G482" s="31" t="e">
        <v>#N/A</v>
      </c>
      <c r="H482" s="51" t="e">
        <f t="shared" si="36"/>
        <v>#N/A</v>
      </c>
      <c r="I482" s="29">
        <f>22.9</f>
        <v>22.9</v>
      </c>
      <c r="J482" s="31">
        <v>49.59</v>
      </c>
      <c r="K482" s="51">
        <f t="shared" si="37"/>
        <v>0.22869177403369684</v>
      </c>
      <c r="L482" s="29">
        <f>23.2</f>
        <v>23.2</v>
      </c>
      <c r="M482" s="30">
        <v>23.2</v>
      </c>
      <c r="N482" s="29" t="e">
        <f>NA()</f>
        <v>#N/A</v>
      </c>
      <c r="O482" s="29" t="e">
        <v>#N/A</v>
      </c>
      <c r="P482" s="51" t="e">
        <f t="shared" si="35"/>
        <v>#N/A</v>
      </c>
      <c r="Q482" s="29">
        <f>12</f>
        <v>12</v>
      </c>
      <c r="R482" s="43">
        <v>12.7</v>
      </c>
      <c r="S482" s="32">
        <f t="shared" si="38"/>
        <v>0.12389380530973439</v>
      </c>
      <c r="T482" s="54" t="e">
        <f>VLOOKUP(A482,[1]인포맥스!$A:$I,9,0)</f>
        <v>#N/A</v>
      </c>
      <c r="U482" s="70" t="e">
        <f t="shared" si="39"/>
        <v>#N/A</v>
      </c>
    </row>
    <row r="483" spans="1:21" x14ac:dyDescent="0.25">
      <c r="A483" s="3">
        <v>29737</v>
      </c>
      <c r="B483" s="29" t="e">
        <f>NA()</f>
        <v>#N/A</v>
      </c>
      <c r="C483" s="29" t="e">
        <v>#N/A</v>
      </c>
      <c r="D483" s="50">
        <f>53.5</f>
        <v>53.5</v>
      </c>
      <c r="E483" s="30">
        <v>53.5</v>
      </c>
      <c r="F483" s="29">
        <f>25.9</f>
        <v>25.9</v>
      </c>
      <c r="G483" s="31" t="e">
        <v>#N/A</v>
      </c>
      <c r="H483" s="51" t="e">
        <f t="shared" si="36"/>
        <v>#N/A</v>
      </c>
      <c r="I483" s="29">
        <f>21.8</f>
        <v>21.8</v>
      </c>
      <c r="J483" s="31">
        <v>49.1</v>
      </c>
      <c r="K483" s="51">
        <f t="shared" si="37"/>
        <v>0.21775793650793654</v>
      </c>
      <c r="L483" s="29">
        <f>21.3</f>
        <v>21.3</v>
      </c>
      <c r="M483" s="30">
        <v>21.3</v>
      </c>
      <c r="N483" s="29" t="e">
        <f>NA()</f>
        <v>#N/A</v>
      </c>
      <c r="O483" s="29" t="e">
        <v>#N/A</v>
      </c>
      <c r="P483" s="51" t="e">
        <f t="shared" si="35"/>
        <v>#N/A</v>
      </c>
      <c r="Q483" s="29">
        <f>11.9</f>
        <v>11.9</v>
      </c>
      <c r="R483" s="43">
        <v>12.6</v>
      </c>
      <c r="S483" s="32">
        <f t="shared" si="38"/>
        <v>0.12500000000000003</v>
      </c>
      <c r="T483" s="54" t="e">
        <f>VLOOKUP(A483,[1]인포맥스!$A:$I,9,0)</f>
        <v>#N/A</v>
      </c>
      <c r="U483" s="70" t="e">
        <f t="shared" si="39"/>
        <v>#N/A</v>
      </c>
    </row>
    <row r="484" spans="1:21" x14ac:dyDescent="0.25">
      <c r="A484" s="3">
        <v>29706</v>
      </c>
      <c r="B484" s="29" t="e">
        <f>NA()</f>
        <v>#N/A</v>
      </c>
      <c r="C484" s="29" t="e">
        <v>#N/A</v>
      </c>
      <c r="D484" s="50">
        <f>51.6</f>
        <v>51.6</v>
      </c>
      <c r="E484" s="30">
        <v>51.6</v>
      </c>
      <c r="F484" s="29">
        <f>34.4</f>
        <v>34.4</v>
      </c>
      <c r="G484" s="31" t="e">
        <v>#N/A</v>
      </c>
      <c r="H484" s="51" t="e">
        <f t="shared" si="36"/>
        <v>#N/A</v>
      </c>
      <c r="I484" s="29">
        <f>20.6</f>
        <v>20.6</v>
      </c>
      <c r="J484" s="31">
        <v>47.73</v>
      </c>
      <c r="K484" s="51">
        <f t="shared" si="37"/>
        <v>0.20560747663551385</v>
      </c>
      <c r="L484" s="29">
        <f>22.4</f>
        <v>22.4</v>
      </c>
      <c r="M484" s="30">
        <v>22.4</v>
      </c>
      <c r="N484" s="29" t="e">
        <f>NA()</f>
        <v>#N/A</v>
      </c>
      <c r="O484" s="29" t="e">
        <v>#N/A</v>
      </c>
      <c r="P484" s="51" t="e">
        <f t="shared" si="35"/>
        <v>#N/A</v>
      </c>
      <c r="Q484" s="29">
        <f>11.5</f>
        <v>11.5</v>
      </c>
      <c r="R484" s="43">
        <v>12.4</v>
      </c>
      <c r="S484" s="32">
        <f t="shared" si="38"/>
        <v>0.11711711711711718</v>
      </c>
      <c r="T484" s="54" t="e">
        <f>VLOOKUP(A484,[1]인포맥스!$A:$I,9,0)</f>
        <v>#N/A</v>
      </c>
      <c r="U484" s="70" t="e">
        <f t="shared" si="39"/>
        <v>#N/A</v>
      </c>
    </row>
    <row r="485" spans="1:21" x14ac:dyDescent="0.25">
      <c r="A485" s="3">
        <v>29676</v>
      </c>
      <c r="B485" s="29" t="e">
        <f>NA()</f>
        <v>#N/A</v>
      </c>
      <c r="C485" s="29" t="e">
        <v>#N/A</v>
      </c>
      <c r="D485" s="50">
        <f>49.6</f>
        <v>49.6</v>
      </c>
      <c r="E485" s="30">
        <v>49.6</v>
      </c>
      <c r="F485" s="29">
        <f>16.5</f>
        <v>16.5</v>
      </c>
      <c r="G485" s="31" t="e">
        <v>#N/A</v>
      </c>
      <c r="H485" s="51" t="e">
        <f t="shared" si="36"/>
        <v>#N/A</v>
      </c>
      <c r="I485" s="29">
        <f>19.1</f>
        <v>19.100000000000001</v>
      </c>
      <c r="J485" s="31">
        <v>46.55</v>
      </c>
      <c r="K485" s="51">
        <f t="shared" si="37"/>
        <v>0.19145124136165848</v>
      </c>
      <c r="L485" s="29">
        <f>22.3</f>
        <v>22.3</v>
      </c>
      <c r="M485" s="30">
        <v>22.3</v>
      </c>
      <c r="N485" s="29" t="e">
        <f>NA()</f>
        <v>#N/A</v>
      </c>
      <c r="O485" s="29" t="e">
        <v>#N/A</v>
      </c>
      <c r="P485" s="51" t="e">
        <f t="shared" si="35"/>
        <v>#N/A</v>
      </c>
      <c r="Q485" s="29">
        <f>11.4</f>
        <v>11.4</v>
      </c>
      <c r="R485" s="43">
        <v>12.3</v>
      </c>
      <c r="S485" s="32">
        <f t="shared" si="38"/>
        <v>0.11818181818181825</v>
      </c>
      <c r="T485" s="54" t="e">
        <f>VLOOKUP(A485,[1]인포맥스!$A:$I,9,0)</f>
        <v>#N/A</v>
      </c>
      <c r="U485" s="70" t="e">
        <f t="shared" si="39"/>
        <v>#N/A</v>
      </c>
    </row>
    <row r="486" spans="1:21" x14ac:dyDescent="0.25">
      <c r="A486" s="3">
        <v>29645</v>
      </c>
      <c r="B486" s="29" t="e">
        <f>NA()</f>
        <v>#N/A</v>
      </c>
      <c r="C486" s="29" t="e">
        <v>#N/A</v>
      </c>
      <c r="D486" s="50">
        <f>48.8</f>
        <v>48.8</v>
      </c>
      <c r="E486" s="30">
        <v>48.8</v>
      </c>
      <c r="F486" s="29">
        <f>21</f>
        <v>21</v>
      </c>
      <c r="G486" s="31" t="e">
        <v>#N/A</v>
      </c>
      <c r="H486" s="51" t="e">
        <f t="shared" si="36"/>
        <v>#N/A</v>
      </c>
      <c r="I486" s="29">
        <f>22.3</f>
        <v>22.3</v>
      </c>
      <c r="J486" s="31">
        <v>46.1</v>
      </c>
      <c r="K486" s="51">
        <f t="shared" si="37"/>
        <v>0.22346072186836521</v>
      </c>
      <c r="L486" s="29">
        <f>24.4</f>
        <v>24.4</v>
      </c>
      <c r="M486" s="30">
        <v>24.4</v>
      </c>
      <c r="N486" s="29" t="e">
        <f>NA()</f>
        <v>#N/A</v>
      </c>
      <c r="O486" s="29" t="e">
        <v>#N/A</v>
      </c>
      <c r="P486" s="51" t="e">
        <f t="shared" si="35"/>
        <v>#N/A</v>
      </c>
      <c r="Q486" s="29">
        <f>11.1</f>
        <v>11.1</v>
      </c>
      <c r="R486" s="43">
        <v>12.2</v>
      </c>
      <c r="S486" s="32">
        <f t="shared" si="38"/>
        <v>0.11926605504587146</v>
      </c>
      <c r="T486" s="54" t="e">
        <f>VLOOKUP(A486,[1]인포맥스!$A:$I,9,0)</f>
        <v>#N/A</v>
      </c>
      <c r="U486" s="70" t="e">
        <f t="shared" si="39"/>
        <v>#N/A</v>
      </c>
    </row>
    <row r="487" spans="1:21" x14ac:dyDescent="0.25">
      <c r="A487" s="3">
        <v>29617</v>
      </c>
      <c r="B487" s="29" t="e">
        <f>NA()</f>
        <v>#N/A</v>
      </c>
      <c r="C487" s="29" t="e">
        <v>#N/A</v>
      </c>
      <c r="D487" s="50">
        <f>49.2</f>
        <v>49.2</v>
      </c>
      <c r="E487" s="30">
        <v>49.2</v>
      </c>
      <c r="F487" s="29">
        <f>32.7</f>
        <v>32.700000000000003</v>
      </c>
      <c r="G487" s="31" t="e">
        <v>#N/A</v>
      </c>
      <c r="H487" s="51" t="e">
        <f t="shared" si="36"/>
        <v>#N/A</v>
      </c>
      <c r="I487" s="29">
        <f>38.2</f>
        <v>38.200000000000003</v>
      </c>
      <c r="J487" s="31">
        <v>45.75</v>
      </c>
      <c r="K487" s="51">
        <f t="shared" si="37"/>
        <v>0.38175777710661435</v>
      </c>
      <c r="L487" s="29">
        <f>28.8</f>
        <v>28.8</v>
      </c>
      <c r="M487" s="30">
        <v>28.8</v>
      </c>
      <c r="N487" s="29" t="e">
        <f>NA()</f>
        <v>#N/A</v>
      </c>
      <c r="O487" s="29" t="e">
        <v>#N/A</v>
      </c>
      <c r="P487" s="51" t="e">
        <f t="shared" si="35"/>
        <v>#N/A</v>
      </c>
      <c r="Q487" s="29">
        <f>10.6</f>
        <v>10.6</v>
      </c>
      <c r="R487" s="43">
        <v>12.1</v>
      </c>
      <c r="S487" s="32">
        <f t="shared" si="38"/>
        <v>0.13084112149532715</v>
      </c>
      <c r="T487" s="54" t="e">
        <f>VLOOKUP(A487,[1]인포맥스!$A:$I,9,0)</f>
        <v>#N/A</v>
      </c>
      <c r="U487" s="70" t="e">
        <f t="shared" si="39"/>
        <v>#N/A</v>
      </c>
    </row>
    <row r="488" spans="1:21" x14ac:dyDescent="0.25">
      <c r="A488" s="3">
        <v>29586</v>
      </c>
      <c r="B488" s="29" t="e">
        <f>NA()</f>
        <v>#N/A</v>
      </c>
      <c r="C488" s="29" t="e">
        <v>#N/A</v>
      </c>
      <c r="D488" s="50">
        <f>53</f>
        <v>53</v>
      </c>
      <c r="E488" s="30">
        <v>53</v>
      </c>
      <c r="F488" s="29">
        <f>16.5</f>
        <v>16.5</v>
      </c>
      <c r="G488" s="31" t="e">
        <v>#N/A</v>
      </c>
      <c r="H488" s="51" t="e">
        <f t="shared" si="36"/>
        <v>#N/A</v>
      </c>
      <c r="I488" s="29">
        <f>42.2</f>
        <v>42.2</v>
      </c>
      <c r="J488" s="31">
        <v>45.09</v>
      </c>
      <c r="K488" s="51">
        <f t="shared" si="37"/>
        <v>0.42194891201513723</v>
      </c>
      <c r="L488" s="29">
        <f>32.2</f>
        <v>32.200000000000003</v>
      </c>
      <c r="M488" s="30">
        <v>32.200000000000003</v>
      </c>
      <c r="N488" s="29" t="e">
        <f>NA()</f>
        <v>#N/A</v>
      </c>
      <c r="O488" s="29" t="e">
        <v>#N/A</v>
      </c>
      <c r="P488" s="51" t="e">
        <f t="shared" si="35"/>
        <v>#N/A</v>
      </c>
      <c r="Q488" s="29">
        <f>9.9</f>
        <v>9.9</v>
      </c>
      <c r="R488" s="43">
        <v>11.9</v>
      </c>
      <c r="S488" s="32">
        <f t="shared" si="38"/>
        <v>0.11214953271028048</v>
      </c>
      <c r="T488" s="54" t="e">
        <f>VLOOKUP(A488,[1]인포맥스!$A:$I,9,0)</f>
        <v>#N/A</v>
      </c>
      <c r="U488" s="70" t="e">
        <f t="shared" si="39"/>
        <v>#N/A</v>
      </c>
    </row>
    <row r="489" spans="1:21" x14ac:dyDescent="0.25">
      <c r="A489" s="3">
        <v>29555</v>
      </c>
      <c r="B489" s="29" t="e">
        <f>NA()</f>
        <v>#N/A</v>
      </c>
      <c r="C489" s="29" t="e">
        <v>#N/A</v>
      </c>
      <c r="D489" s="50">
        <f>58.2</f>
        <v>58.2</v>
      </c>
      <c r="E489" s="30">
        <v>58.2</v>
      </c>
      <c r="F489" s="29">
        <f>17.4</f>
        <v>17.399999999999999</v>
      </c>
      <c r="G489" s="31" t="e">
        <v>#N/A</v>
      </c>
      <c r="H489" s="51" t="e">
        <f t="shared" si="36"/>
        <v>#N/A</v>
      </c>
      <c r="I489" s="29">
        <f>38.3</f>
        <v>38.299999999999997</v>
      </c>
      <c r="J489" s="31">
        <v>43.43</v>
      </c>
      <c r="K489" s="51">
        <f t="shared" si="37"/>
        <v>0.38312101910828028</v>
      </c>
      <c r="L489" s="29">
        <f>31.3</f>
        <v>31.3</v>
      </c>
      <c r="M489" s="30">
        <v>31.3</v>
      </c>
      <c r="N489" s="29" t="e">
        <f>NA()</f>
        <v>#N/A</v>
      </c>
      <c r="O489" s="29" t="e">
        <v>#N/A</v>
      </c>
      <c r="P489" s="51" t="e">
        <f t="shared" si="35"/>
        <v>#N/A</v>
      </c>
      <c r="Q489" s="29">
        <f>9.5</f>
        <v>9.5</v>
      </c>
      <c r="R489" s="43">
        <v>11.8</v>
      </c>
      <c r="S489" s="32">
        <f t="shared" si="38"/>
        <v>0.11320754716981142</v>
      </c>
      <c r="T489" s="54" t="e">
        <f>VLOOKUP(A489,[1]인포맥스!$A:$I,9,0)</f>
        <v>#N/A</v>
      </c>
      <c r="U489" s="70" t="e">
        <f t="shared" si="39"/>
        <v>#N/A</v>
      </c>
    </row>
    <row r="490" spans="1:21" x14ac:dyDescent="0.25">
      <c r="A490" s="3">
        <v>29525</v>
      </c>
      <c r="B490" s="29" t="e">
        <f>NA()</f>
        <v>#N/A</v>
      </c>
      <c r="C490" s="29" t="e">
        <v>#N/A</v>
      </c>
      <c r="D490" s="50">
        <f>55.5</f>
        <v>55.5</v>
      </c>
      <c r="E490" s="30">
        <v>55.5</v>
      </c>
      <c r="F490" s="29">
        <f>20.5</f>
        <v>20.5</v>
      </c>
      <c r="G490" s="31" t="e">
        <v>#N/A</v>
      </c>
      <c r="H490" s="51" t="e">
        <f t="shared" si="36"/>
        <v>#N/A</v>
      </c>
      <c r="I490" s="29">
        <f>36</f>
        <v>36</v>
      </c>
      <c r="J490" s="31">
        <v>42.79</v>
      </c>
      <c r="K490" s="51">
        <f t="shared" si="37"/>
        <v>0.3601398601398601</v>
      </c>
      <c r="L490" s="29">
        <f>32.5</f>
        <v>32.5</v>
      </c>
      <c r="M490" s="30">
        <v>32.5</v>
      </c>
      <c r="N490" s="29" t="e">
        <f>NA()</f>
        <v>#N/A</v>
      </c>
      <c r="O490" s="29" t="e">
        <v>#N/A</v>
      </c>
      <c r="P490" s="51" t="e">
        <f t="shared" si="35"/>
        <v>#N/A</v>
      </c>
      <c r="Q490" s="29">
        <f>9.1</f>
        <v>9.1</v>
      </c>
      <c r="R490" s="43">
        <v>11.7</v>
      </c>
      <c r="S490" s="32">
        <f t="shared" si="38"/>
        <v>0.10377358490566034</v>
      </c>
      <c r="T490" s="54" t="e">
        <f>VLOOKUP(A490,[1]인포맥스!$A:$I,9,0)</f>
        <v>#N/A</v>
      </c>
      <c r="U490" s="70" t="e">
        <f t="shared" si="39"/>
        <v>#N/A</v>
      </c>
    </row>
    <row r="491" spans="1:21" x14ac:dyDescent="0.25">
      <c r="A491" s="3">
        <v>29494</v>
      </c>
      <c r="B491" s="29" t="e">
        <f>NA()</f>
        <v>#N/A</v>
      </c>
      <c r="C491" s="29" t="e">
        <v>#N/A</v>
      </c>
      <c r="D491" s="50">
        <f>50.1</f>
        <v>50.1</v>
      </c>
      <c r="E491" s="30">
        <v>50.1</v>
      </c>
      <c r="F491" s="29">
        <f>8.9</f>
        <v>8.9</v>
      </c>
      <c r="G491" s="31" t="e">
        <v>#N/A</v>
      </c>
      <c r="H491" s="51" t="e">
        <f t="shared" si="36"/>
        <v>#N/A</v>
      </c>
      <c r="I491" s="29">
        <f>35.1</f>
        <v>35.1</v>
      </c>
      <c r="J491" s="31">
        <v>42.22</v>
      </c>
      <c r="K491" s="51">
        <f t="shared" si="37"/>
        <v>0.35147247119078107</v>
      </c>
      <c r="L491" s="29">
        <f>29.8</f>
        <v>29.8</v>
      </c>
      <c r="M491" s="30">
        <v>29.8</v>
      </c>
      <c r="N491" s="29" t="e">
        <f>NA()</f>
        <v>#N/A</v>
      </c>
      <c r="O491" s="29" t="e">
        <v>#N/A</v>
      </c>
      <c r="P491" s="51" t="e">
        <f t="shared" si="35"/>
        <v>#N/A</v>
      </c>
      <c r="Q491" s="29">
        <f>8.6</f>
        <v>8.6</v>
      </c>
      <c r="R491" s="43">
        <v>11.6</v>
      </c>
      <c r="S491" s="32">
        <f t="shared" si="38"/>
        <v>9.4339622641509441E-2</v>
      </c>
      <c r="T491" s="54" t="e">
        <f>VLOOKUP(A491,[1]인포맥스!$A:$I,9,0)</f>
        <v>#N/A</v>
      </c>
      <c r="U491" s="70" t="e">
        <f t="shared" si="39"/>
        <v>#N/A</v>
      </c>
    </row>
    <row r="492" spans="1:21" x14ac:dyDescent="0.25">
      <c r="A492" s="3">
        <v>29464</v>
      </c>
      <c r="B492" s="29" t="e">
        <f>NA()</f>
        <v>#N/A</v>
      </c>
      <c r="C492" s="29" t="e">
        <v>#N/A</v>
      </c>
      <c r="D492" s="50">
        <f>45.5</f>
        <v>45.5</v>
      </c>
      <c r="E492" s="30">
        <v>45.5</v>
      </c>
      <c r="F492" s="29">
        <f>12.6</f>
        <v>12.6</v>
      </c>
      <c r="G492" s="31" t="e">
        <v>#N/A</v>
      </c>
      <c r="H492" s="51" t="e">
        <f t="shared" si="36"/>
        <v>#N/A</v>
      </c>
      <c r="I492" s="29">
        <f>34.7</f>
        <v>34.700000000000003</v>
      </c>
      <c r="J492" s="31">
        <v>41.54</v>
      </c>
      <c r="K492" s="51">
        <f t="shared" si="37"/>
        <v>0.34738890690885504</v>
      </c>
      <c r="L492" s="29">
        <f>29.2</f>
        <v>29.2</v>
      </c>
      <c r="M492" s="30">
        <v>29.2</v>
      </c>
      <c r="N492" s="29" t="e">
        <f>NA()</f>
        <v>#N/A</v>
      </c>
      <c r="O492" s="29" t="e">
        <v>#N/A</v>
      </c>
      <c r="P492" s="51" t="e">
        <f t="shared" si="35"/>
        <v>#N/A</v>
      </c>
      <c r="Q492" s="29">
        <f>8.3</f>
        <v>8.3000000000000007</v>
      </c>
      <c r="R492" s="43">
        <v>11.5</v>
      </c>
      <c r="S492" s="32">
        <f t="shared" si="38"/>
        <v>9.5238095238095233E-2</v>
      </c>
      <c r="T492" s="54" t="e">
        <f>VLOOKUP(A492,[1]인포맥스!$A:$I,9,0)</f>
        <v>#N/A</v>
      </c>
      <c r="U492" s="70" t="e">
        <f t="shared" si="39"/>
        <v>#N/A</v>
      </c>
    </row>
    <row r="493" spans="1:21" x14ac:dyDescent="0.25">
      <c r="A493" s="3">
        <v>29433</v>
      </c>
      <c r="B493" s="29" t="e">
        <f>NA()</f>
        <v>#N/A</v>
      </c>
      <c r="C493" s="29" t="e">
        <v>#N/A</v>
      </c>
      <c r="D493" s="50">
        <f>35</f>
        <v>35</v>
      </c>
      <c r="E493" s="30">
        <v>35</v>
      </c>
      <c r="F493" s="29">
        <f>14.8</f>
        <v>14.8</v>
      </c>
      <c r="G493" s="31" t="e">
        <v>#N/A</v>
      </c>
      <c r="H493" s="51" t="e">
        <f t="shared" si="36"/>
        <v>#N/A</v>
      </c>
      <c r="I493" s="29">
        <f>35.9</f>
        <v>35.9</v>
      </c>
      <c r="J493" s="31">
        <v>40.64</v>
      </c>
      <c r="K493" s="51">
        <f t="shared" si="37"/>
        <v>0.35874289535272486</v>
      </c>
      <c r="L493" s="29">
        <f>27.5</f>
        <v>27.5</v>
      </c>
      <c r="M493" s="30">
        <v>27.5</v>
      </c>
      <c r="N493" s="29" t="e">
        <f>NA()</f>
        <v>#N/A</v>
      </c>
      <c r="O493" s="29" t="e">
        <v>#N/A</v>
      </c>
      <c r="P493" s="51" t="e">
        <f t="shared" si="35"/>
        <v>#N/A</v>
      </c>
      <c r="Q493" s="29">
        <f>7.6</f>
        <v>7.6</v>
      </c>
      <c r="R493" s="43">
        <v>11.4</v>
      </c>
      <c r="S493" s="32">
        <f t="shared" si="38"/>
        <v>8.5714285714285743E-2</v>
      </c>
      <c r="T493" s="54" t="e">
        <f>VLOOKUP(A493,[1]인포맥스!$A:$I,9,0)</f>
        <v>#N/A</v>
      </c>
      <c r="U493" s="70" t="e">
        <f t="shared" si="39"/>
        <v>#N/A</v>
      </c>
    </row>
    <row r="494" spans="1:21" x14ac:dyDescent="0.25">
      <c r="A494" s="3">
        <v>29402</v>
      </c>
      <c r="B494" s="29" t="e">
        <f>NA()</f>
        <v>#N/A</v>
      </c>
      <c r="C494" s="29" t="e">
        <v>#N/A</v>
      </c>
      <c r="D494" s="50">
        <f>30.3</f>
        <v>30.3</v>
      </c>
      <c r="E494" s="30">
        <v>30.3</v>
      </c>
      <c r="F494" s="29">
        <f>15.4</f>
        <v>15.4</v>
      </c>
      <c r="G494" s="31" t="e">
        <v>#N/A</v>
      </c>
      <c r="H494" s="51" t="e">
        <f t="shared" si="36"/>
        <v>#N/A</v>
      </c>
      <c r="I494" s="29">
        <f>41.8</f>
        <v>41.8</v>
      </c>
      <c r="J494" s="31">
        <v>40.36</v>
      </c>
      <c r="K494" s="51">
        <f t="shared" si="37"/>
        <v>0.41813070976809552</v>
      </c>
      <c r="L494" s="29">
        <f>27</f>
        <v>27</v>
      </c>
      <c r="M494" s="30">
        <v>27</v>
      </c>
      <c r="N494" s="29" t="e">
        <f>NA()</f>
        <v>#N/A</v>
      </c>
      <c r="O494" s="29" t="e">
        <v>#N/A</v>
      </c>
      <c r="P494" s="51" t="e">
        <f t="shared" si="35"/>
        <v>#N/A</v>
      </c>
      <c r="Q494" s="29">
        <f>7</f>
        <v>7</v>
      </c>
      <c r="R494" s="43">
        <v>11.3</v>
      </c>
      <c r="S494" s="32">
        <f t="shared" si="38"/>
        <v>7.6190476190476253E-2</v>
      </c>
      <c r="T494" s="54" t="e">
        <f>VLOOKUP(A494,[1]인포맥스!$A:$I,9,0)</f>
        <v>#N/A</v>
      </c>
      <c r="U494" s="70" t="e">
        <f t="shared" si="39"/>
        <v>#N/A</v>
      </c>
    </row>
    <row r="495" spans="1:21" x14ac:dyDescent="0.25">
      <c r="A495" s="3">
        <v>29372</v>
      </c>
      <c r="B495" s="29" t="e">
        <f>NA()</f>
        <v>#N/A</v>
      </c>
      <c r="C495" s="29" t="e">
        <v>#N/A</v>
      </c>
      <c r="D495" s="50">
        <f>29.4</f>
        <v>29.4</v>
      </c>
      <c r="E495" s="30">
        <v>29.4</v>
      </c>
      <c r="F495" s="29">
        <f>10</f>
        <v>10</v>
      </c>
      <c r="G495" s="31" t="e">
        <v>#N/A</v>
      </c>
      <c r="H495" s="51" t="e">
        <f t="shared" si="36"/>
        <v>#N/A</v>
      </c>
      <c r="I495" s="29">
        <f>42.5</f>
        <v>42.5</v>
      </c>
      <c r="J495" s="31">
        <v>40.32</v>
      </c>
      <c r="K495" s="51">
        <f t="shared" si="37"/>
        <v>0.42523860021208915</v>
      </c>
      <c r="L495" s="29">
        <f>26.6</f>
        <v>26.6</v>
      </c>
      <c r="M495" s="30">
        <v>26.6</v>
      </c>
      <c r="N495" s="29" t="e">
        <f>NA()</f>
        <v>#N/A</v>
      </c>
      <c r="O495" s="29" t="e">
        <v>#N/A</v>
      </c>
      <c r="P495" s="51" t="e">
        <f t="shared" si="35"/>
        <v>#N/A</v>
      </c>
      <c r="Q495" s="29">
        <f>5.7</f>
        <v>5.7</v>
      </c>
      <c r="R495" s="43">
        <v>11.2</v>
      </c>
      <c r="S495" s="32">
        <f t="shared" si="38"/>
        <v>6.6666666666666596E-2</v>
      </c>
      <c r="T495" s="54" t="e">
        <f>VLOOKUP(A495,[1]인포맥스!$A:$I,9,0)</f>
        <v>#N/A</v>
      </c>
      <c r="U495" s="70" t="e">
        <f t="shared" si="39"/>
        <v>#N/A</v>
      </c>
    </row>
    <row r="496" spans="1:21" x14ac:dyDescent="0.25">
      <c r="A496" s="3">
        <v>29341</v>
      </c>
      <c r="B496" s="29" t="e">
        <f>NA()</f>
        <v>#N/A</v>
      </c>
      <c r="C496" s="29" t="e">
        <v>#N/A</v>
      </c>
      <c r="D496" s="50">
        <f>37.4</f>
        <v>37.4</v>
      </c>
      <c r="E496" s="30">
        <v>37.4</v>
      </c>
      <c r="F496" s="29">
        <f>18</f>
        <v>18</v>
      </c>
      <c r="G496" s="31" t="e">
        <v>#N/A</v>
      </c>
      <c r="H496" s="51" t="e">
        <f t="shared" si="36"/>
        <v>#N/A</v>
      </c>
      <c r="I496" s="29">
        <f>43.9</f>
        <v>43.9</v>
      </c>
      <c r="J496" s="31">
        <v>39.590000000000003</v>
      </c>
      <c r="K496" s="51">
        <f t="shared" si="37"/>
        <v>0.43859011627906991</v>
      </c>
      <c r="L496" s="29">
        <f>26.6</f>
        <v>26.6</v>
      </c>
      <c r="M496" s="30">
        <v>26.6</v>
      </c>
      <c r="N496" s="29" t="e">
        <f>NA()</f>
        <v>#N/A</v>
      </c>
      <c r="O496" s="29" t="e">
        <v>#N/A</v>
      </c>
      <c r="P496" s="51" t="e">
        <f t="shared" si="35"/>
        <v>#N/A</v>
      </c>
      <c r="Q496" s="29">
        <f>5</f>
        <v>5</v>
      </c>
      <c r="R496" s="43">
        <v>11.1</v>
      </c>
      <c r="S496" s="32">
        <f t="shared" si="38"/>
        <v>4.716981132075472E-2</v>
      </c>
      <c r="T496" s="54" t="e">
        <f>VLOOKUP(A496,[1]인포맥스!$A:$I,9,0)</f>
        <v>#N/A</v>
      </c>
      <c r="U496" s="70" t="e">
        <f t="shared" si="39"/>
        <v>#N/A</v>
      </c>
    </row>
    <row r="497" spans="1:21" x14ac:dyDescent="0.25">
      <c r="A497" s="3">
        <v>29311</v>
      </c>
      <c r="B497" s="29" t="e">
        <f>NA()</f>
        <v>#N/A</v>
      </c>
      <c r="C497" s="29" t="e">
        <v>#N/A</v>
      </c>
      <c r="D497" s="50">
        <f>43.6</f>
        <v>43.6</v>
      </c>
      <c r="E497" s="30">
        <v>43.6</v>
      </c>
      <c r="F497" s="29">
        <f>16</f>
        <v>16</v>
      </c>
      <c r="G497" s="31" t="e">
        <v>#N/A</v>
      </c>
      <c r="H497" s="51" t="e">
        <f t="shared" si="36"/>
        <v>#N/A</v>
      </c>
      <c r="I497" s="29">
        <f>45.8</f>
        <v>45.8</v>
      </c>
      <c r="J497" s="31">
        <v>39.07</v>
      </c>
      <c r="K497" s="51">
        <f t="shared" si="37"/>
        <v>0.45837999253452788</v>
      </c>
      <c r="L497" s="29">
        <f>28.8</f>
        <v>28.8</v>
      </c>
      <c r="M497" s="30">
        <v>28.8</v>
      </c>
      <c r="N497" s="29" t="e">
        <f>NA()</f>
        <v>#N/A</v>
      </c>
      <c r="O497" s="29" t="e">
        <v>#N/A</v>
      </c>
      <c r="P497" s="51" t="e">
        <f t="shared" si="35"/>
        <v>#N/A</v>
      </c>
      <c r="Q497" s="29">
        <f>3.7</f>
        <v>3.7</v>
      </c>
      <c r="R497" s="43">
        <v>11</v>
      </c>
      <c r="S497" s="32">
        <f t="shared" si="38"/>
        <v>2.8037383177570162E-2</v>
      </c>
      <c r="T497" s="54" t="e">
        <f>VLOOKUP(A497,[1]인포맥스!$A:$I,9,0)</f>
        <v>#N/A</v>
      </c>
      <c r="U497" s="70" t="e">
        <f t="shared" si="39"/>
        <v>#N/A</v>
      </c>
    </row>
    <row r="498" spans="1:21" x14ac:dyDescent="0.25">
      <c r="A498" s="3">
        <v>29280</v>
      </c>
      <c r="B498" s="29" t="e">
        <f>NA()</f>
        <v>#N/A</v>
      </c>
      <c r="C498" s="29" t="e">
        <v>#N/A</v>
      </c>
      <c r="D498" s="50">
        <f>50.2</f>
        <v>50.2</v>
      </c>
      <c r="E498" s="30">
        <v>50.2</v>
      </c>
      <c r="F498" s="29">
        <f>25.5</f>
        <v>25.5</v>
      </c>
      <c r="G498" s="31" t="e">
        <v>#N/A</v>
      </c>
      <c r="H498" s="51" t="e">
        <f t="shared" si="36"/>
        <v>#N/A</v>
      </c>
      <c r="I498" s="29">
        <f>44</f>
        <v>44</v>
      </c>
      <c r="J498" s="31">
        <v>37.68</v>
      </c>
      <c r="K498" s="51">
        <f t="shared" si="37"/>
        <v>0.43981658387466555</v>
      </c>
      <c r="L498" s="29">
        <f>26.4</f>
        <v>26.4</v>
      </c>
      <c r="M498" s="30">
        <v>26.4</v>
      </c>
      <c r="N498" s="29" t="e">
        <f>NA()</f>
        <v>#N/A</v>
      </c>
      <c r="O498" s="29" t="e">
        <v>#N/A</v>
      </c>
      <c r="P498" s="51" t="e">
        <f t="shared" si="35"/>
        <v>#N/A</v>
      </c>
      <c r="Q498" s="29">
        <f>2.8</f>
        <v>2.8</v>
      </c>
      <c r="R498" s="43">
        <v>10.9</v>
      </c>
      <c r="S498" s="32">
        <f t="shared" si="38"/>
        <v>1.8691588785046828E-2</v>
      </c>
      <c r="T498" s="54" t="e">
        <f>VLOOKUP(A498,[1]인포맥스!$A:$I,9,0)</f>
        <v>#N/A</v>
      </c>
      <c r="U498" s="70" t="e">
        <f t="shared" si="39"/>
        <v>#N/A</v>
      </c>
    </row>
    <row r="499" spans="1:21" x14ac:dyDescent="0.25">
      <c r="A499" s="3">
        <v>29251</v>
      </c>
      <c r="B499" s="29" t="e">
        <f>NA()</f>
        <v>#N/A</v>
      </c>
      <c r="C499" s="29" t="e">
        <v>#N/A</v>
      </c>
      <c r="D499" s="50">
        <f>46.2</f>
        <v>46.2</v>
      </c>
      <c r="E499" s="30">
        <v>46.2</v>
      </c>
      <c r="F499" s="29">
        <f>25.5</f>
        <v>25.5</v>
      </c>
      <c r="G499" s="31" t="e">
        <v>#N/A</v>
      </c>
      <c r="H499" s="51" t="e">
        <f t="shared" si="36"/>
        <v>#N/A</v>
      </c>
      <c r="I499" s="29">
        <f>28.4</f>
        <v>28.4</v>
      </c>
      <c r="J499" s="31">
        <v>33.11</v>
      </c>
      <c r="K499" s="51">
        <f t="shared" si="37"/>
        <v>0.28432893716058955</v>
      </c>
      <c r="L499" s="29">
        <f>25.4</f>
        <v>25.4</v>
      </c>
      <c r="M499" s="30">
        <v>25.4</v>
      </c>
      <c r="N499" s="29" t="e">
        <f>NA()</f>
        <v>#N/A</v>
      </c>
      <c r="O499" s="29" t="e">
        <v>#N/A</v>
      </c>
      <c r="P499" s="51" t="e">
        <f t="shared" si="35"/>
        <v>#N/A</v>
      </c>
      <c r="Q499" s="29">
        <f>1.8</f>
        <v>1.8</v>
      </c>
      <c r="R499" s="43">
        <v>10.7</v>
      </c>
      <c r="S499" s="32">
        <f t="shared" si="38"/>
        <v>0</v>
      </c>
      <c r="T499" s="54" t="e">
        <f>VLOOKUP(A499,[1]인포맥스!$A:$I,9,0)</f>
        <v>#N/A</v>
      </c>
      <c r="U499" s="70" t="e">
        <f t="shared" si="39"/>
        <v>#N/A</v>
      </c>
    </row>
    <row r="500" spans="1:21" x14ac:dyDescent="0.25">
      <c r="A500" s="3">
        <v>29220</v>
      </c>
      <c r="B500" s="29" t="e">
        <f>NA()</f>
        <v>#N/A</v>
      </c>
      <c r="C500" s="29" t="e">
        <v>#N/A</v>
      </c>
      <c r="D500" s="50">
        <f>44.8</f>
        <v>44.8</v>
      </c>
      <c r="E500" s="30">
        <v>44.8</v>
      </c>
      <c r="F500" s="29">
        <f>10.3</f>
        <v>10.3</v>
      </c>
      <c r="G500" s="31" t="e">
        <v>#N/A</v>
      </c>
      <c r="H500" s="51" t="e">
        <f t="shared" si="36"/>
        <v>#N/A</v>
      </c>
      <c r="I500" s="29">
        <f>23.8</f>
        <v>23.8</v>
      </c>
      <c r="J500" s="31">
        <v>31.71</v>
      </c>
      <c r="K500" s="51">
        <f t="shared" si="37"/>
        <v>0.23770491803278687</v>
      </c>
      <c r="L500" s="29">
        <f>21.2</f>
        <v>21.2</v>
      </c>
      <c r="M500" s="30">
        <v>21.2</v>
      </c>
      <c r="N500" s="29" t="e">
        <f>NA()</f>
        <v>#N/A</v>
      </c>
      <c r="O500" s="29" t="e">
        <v>#N/A</v>
      </c>
      <c r="P500" s="51" t="e">
        <f t="shared" si="35"/>
        <v>#N/A</v>
      </c>
      <c r="Q500" s="29">
        <f>1.3</f>
        <v>1.3</v>
      </c>
      <c r="R500" s="43">
        <v>10.7</v>
      </c>
      <c r="S500" s="32">
        <f t="shared" si="38"/>
        <v>9.4339622641509101E-3</v>
      </c>
      <c r="T500" s="54" t="e">
        <f>VLOOKUP(A500,[1]인포맥스!$A:$I,9,0)</f>
        <v>#N/A</v>
      </c>
      <c r="U500" s="70" t="e">
        <f t="shared" si="39"/>
        <v>#N/A</v>
      </c>
    </row>
    <row r="501" spans="1:21" x14ac:dyDescent="0.25">
      <c r="A501" s="3">
        <v>29189</v>
      </c>
      <c r="B501" s="29" t="e">
        <f>NA()</f>
        <v>#N/A</v>
      </c>
      <c r="C501" s="29" t="e">
        <v>#N/A</v>
      </c>
      <c r="D501" s="50">
        <f>48</f>
        <v>48</v>
      </c>
      <c r="E501" s="30">
        <v>48</v>
      </c>
      <c r="F501" s="29">
        <f>18.6</f>
        <v>18.600000000000001</v>
      </c>
      <c r="G501" s="31" t="e">
        <v>#N/A</v>
      </c>
      <c r="H501" s="51" t="e">
        <f t="shared" si="36"/>
        <v>#N/A</v>
      </c>
      <c r="I501" s="29">
        <f>22.9</f>
        <v>22.9</v>
      </c>
      <c r="J501" s="31">
        <v>31.4</v>
      </c>
      <c r="K501" s="51">
        <f t="shared" si="37"/>
        <v>0.2289628180039138</v>
      </c>
      <c r="L501" s="29">
        <f>18.8</f>
        <v>18.8</v>
      </c>
      <c r="M501" s="30">
        <v>18.8</v>
      </c>
      <c r="N501" s="29" t="e">
        <f>NA()</f>
        <v>#N/A</v>
      </c>
      <c r="O501" s="29" t="e">
        <v>#N/A</v>
      </c>
      <c r="P501" s="51" t="e">
        <f t="shared" si="35"/>
        <v>#N/A</v>
      </c>
      <c r="Q501" s="29">
        <f>1.2</f>
        <v>1.2</v>
      </c>
      <c r="R501" s="43">
        <v>10.6</v>
      </c>
      <c r="S501" s="32">
        <f t="shared" si="38"/>
        <v>9.52380952380949E-3</v>
      </c>
      <c r="T501" s="54" t="e">
        <f>VLOOKUP(A501,[1]인포맥스!$A:$I,9,0)</f>
        <v>#N/A</v>
      </c>
      <c r="U501" s="70" t="e">
        <f t="shared" si="39"/>
        <v>#N/A</v>
      </c>
    </row>
    <row r="502" spans="1:21" x14ac:dyDescent="0.25">
      <c r="A502" s="3">
        <v>29159</v>
      </c>
      <c r="B502" s="29" t="e">
        <f>NA()</f>
        <v>#N/A</v>
      </c>
      <c r="C502" s="29" t="e">
        <v>#N/A</v>
      </c>
      <c r="D502" s="50">
        <f>49</f>
        <v>49</v>
      </c>
      <c r="E502" s="30">
        <v>49</v>
      </c>
      <c r="F502" s="29">
        <f>11.5</f>
        <v>11.5</v>
      </c>
      <c r="G502" s="31" t="e">
        <v>#N/A</v>
      </c>
      <c r="H502" s="51" t="e">
        <f t="shared" si="36"/>
        <v>#N/A</v>
      </c>
      <c r="I502" s="29">
        <f>24</f>
        <v>24</v>
      </c>
      <c r="J502" s="31">
        <v>31.46</v>
      </c>
      <c r="K502" s="51">
        <f t="shared" si="37"/>
        <v>0.23955870764381412</v>
      </c>
      <c r="L502" s="29">
        <f>17.6</f>
        <v>17.600000000000001</v>
      </c>
      <c r="M502" s="30">
        <v>17.600000000000001</v>
      </c>
      <c r="N502" s="29" t="e">
        <f>NA()</f>
        <v>#N/A</v>
      </c>
      <c r="O502" s="29" t="e">
        <v>#N/A</v>
      </c>
      <c r="P502" s="51" t="e">
        <f t="shared" si="35"/>
        <v>#N/A</v>
      </c>
      <c r="Q502" s="29">
        <f>1.5</f>
        <v>1.5</v>
      </c>
      <c r="R502" s="43">
        <v>10.6</v>
      </c>
      <c r="S502" s="32">
        <f t="shared" si="38"/>
        <v>9.52380952380949E-3</v>
      </c>
      <c r="T502" s="54" t="e">
        <f>VLOOKUP(A502,[1]인포맥스!$A:$I,9,0)</f>
        <v>#N/A</v>
      </c>
      <c r="U502" s="70" t="e">
        <f t="shared" si="39"/>
        <v>#N/A</v>
      </c>
    </row>
    <row r="503" spans="1:21" x14ac:dyDescent="0.25">
      <c r="A503" s="3">
        <v>29128</v>
      </c>
      <c r="B503" s="29" t="e">
        <f>NA()</f>
        <v>#N/A</v>
      </c>
      <c r="C503" s="29" t="e">
        <v>#N/A</v>
      </c>
      <c r="D503" s="50">
        <f>49.6</f>
        <v>49.6</v>
      </c>
      <c r="E503" s="30">
        <v>49.6</v>
      </c>
      <c r="F503" s="29">
        <f>23.1</f>
        <v>23.1</v>
      </c>
      <c r="G503" s="31" t="e">
        <v>#N/A</v>
      </c>
      <c r="H503" s="51" t="e">
        <f t="shared" si="36"/>
        <v>#N/A</v>
      </c>
      <c r="I503" s="29">
        <f>24.4</f>
        <v>24.4</v>
      </c>
      <c r="J503" s="31">
        <v>31.24</v>
      </c>
      <c r="K503" s="51">
        <f t="shared" si="37"/>
        <v>0.24412584627638387</v>
      </c>
      <c r="L503" s="29">
        <f>17.9</f>
        <v>17.899999999999999</v>
      </c>
      <c r="M503" s="30">
        <v>17.899999999999999</v>
      </c>
      <c r="N503" s="29" t="e">
        <f>NA()</f>
        <v>#N/A</v>
      </c>
      <c r="O503" s="29" t="e">
        <v>#N/A</v>
      </c>
      <c r="P503" s="51" t="e">
        <f t="shared" si="35"/>
        <v>#N/A</v>
      </c>
      <c r="Q503" s="29">
        <f>1.5</f>
        <v>1.5</v>
      </c>
      <c r="R503" s="43">
        <v>10.6</v>
      </c>
      <c r="S503" s="32">
        <f t="shared" si="38"/>
        <v>1.9230769230769162E-2</v>
      </c>
      <c r="T503" s="54" t="e">
        <f>VLOOKUP(A503,[1]인포맥스!$A:$I,9,0)</f>
        <v>#N/A</v>
      </c>
      <c r="U503" s="70" t="e">
        <f t="shared" si="39"/>
        <v>#N/A</v>
      </c>
    </row>
    <row r="504" spans="1:21" x14ac:dyDescent="0.25">
      <c r="A504" s="3">
        <v>29098</v>
      </c>
      <c r="B504" s="29" t="e">
        <f>NA()</f>
        <v>#N/A</v>
      </c>
      <c r="C504" s="29" t="e">
        <v>#N/A</v>
      </c>
      <c r="D504" s="50">
        <f>49.5</f>
        <v>49.5</v>
      </c>
      <c r="E504" s="30">
        <v>49.5</v>
      </c>
      <c r="F504" s="29">
        <f>26.8</f>
        <v>26.8</v>
      </c>
      <c r="G504" s="31" t="e">
        <v>#N/A</v>
      </c>
      <c r="H504" s="51" t="e">
        <f t="shared" si="36"/>
        <v>#N/A</v>
      </c>
      <c r="I504" s="29">
        <f>25.2</f>
        <v>25.2</v>
      </c>
      <c r="J504" s="31">
        <v>30.83</v>
      </c>
      <c r="K504" s="51">
        <f t="shared" si="37"/>
        <v>0.25172553796183517</v>
      </c>
      <c r="L504" s="29">
        <f>18.6</f>
        <v>18.600000000000001</v>
      </c>
      <c r="M504" s="30">
        <v>18.600000000000001</v>
      </c>
      <c r="N504" s="29" t="e">
        <f>NA()</f>
        <v>#N/A</v>
      </c>
      <c r="O504" s="29" t="e">
        <v>#N/A</v>
      </c>
      <c r="P504" s="51" t="e">
        <f t="shared" si="35"/>
        <v>#N/A</v>
      </c>
      <c r="Q504" s="29">
        <f>1.3</f>
        <v>1.3</v>
      </c>
      <c r="R504" s="43">
        <v>10.5</v>
      </c>
      <c r="S504" s="32">
        <f t="shared" si="38"/>
        <v>1.9417475728155269E-2</v>
      </c>
      <c r="T504" s="54" t="e">
        <f>VLOOKUP(A504,[1]인포맥스!$A:$I,9,0)</f>
        <v>#N/A</v>
      </c>
      <c r="U504" s="70" t="e">
        <f t="shared" si="39"/>
        <v>#N/A</v>
      </c>
    </row>
    <row r="505" spans="1:21" x14ac:dyDescent="0.25">
      <c r="A505" s="3">
        <v>29067</v>
      </c>
      <c r="B505" s="29" t="e">
        <f>NA()</f>
        <v>#N/A</v>
      </c>
      <c r="C505" s="29" t="e">
        <v>#N/A</v>
      </c>
      <c r="D505" s="50">
        <f>51.3</f>
        <v>51.3</v>
      </c>
      <c r="E505" s="30">
        <v>51.3</v>
      </c>
      <c r="F505" s="29">
        <f>23.3</f>
        <v>23.3</v>
      </c>
      <c r="G505" s="31" t="e">
        <v>#N/A</v>
      </c>
      <c r="H505" s="51" t="e">
        <f t="shared" si="36"/>
        <v>#N/A</v>
      </c>
      <c r="I505" s="29">
        <f>21.5</f>
        <v>21.5</v>
      </c>
      <c r="J505" s="31">
        <v>29.91</v>
      </c>
      <c r="K505" s="51">
        <f t="shared" si="37"/>
        <v>0.21535960991466888</v>
      </c>
      <c r="L505" s="29">
        <f>18.5</f>
        <v>18.5</v>
      </c>
      <c r="M505" s="30">
        <v>18.5</v>
      </c>
      <c r="N505" s="29" t="e">
        <f>NA()</f>
        <v>#N/A</v>
      </c>
      <c r="O505" s="29" t="e">
        <v>#N/A</v>
      </c>
      <c r="P505" s="51" t="e">
        <f t="shared" si="35"/>
        <v>#N/A</v>
      </c>
      <c r="Q505" s="29">
        <f>1.5</f>
        <v>1.5</v>
      </c>
      <c r="R505" s="43">
        <v>10.5</v>
      </c>
      <c r="S505" s="32">
        <f t="shared" si="38"/>
        <v>1.9417475728155269E-2</v>
      </c>
      <c r="T505" s="54" t="e">
        <f>VLOOKUP(A505,[1]인포맥스!$A:$I,9,0)</f>
        <v>#N/A</v>
      </c>
      <c r="U505" s="70" t="e">
        <f t="shared" si="39"/>
        <v>#N/A</v>
      </c>
    </row>
    <row r="506" spans="1:21" x14ac:dyDescent="0.25">
      <c r="A506" s="3">
        <v>29036</v>
      </c>
      <c r="B506" s="29" t="e">
        <f>NA()</f>
        <v>#N/A</v>
      </c>
      <c r="C506" s="29" t="e">
        <v>#N/A</v>
      </c>
      <c r="D506" s="50">
        <f>52.7</f>
        <v>52.7</v>
      </c>
      <c r="E506" s="30">
        <v>52.7</v>
      </c>
      <c r="F506" s="29">
        <f>20.6</f>
        <v>20.6</v>
      </c>
      <c r="G506" s="31" t="e">
        <v>#N/A</v>
      </c>
      <c r="H506" s="51" t="e">
        <f t="shared" si="36"/>
        <v>#N/A</v>
      </c>
      <c r="I506" s="29">
        <f>16.2</f>
        <v>16.2</v>
      </c>
      <c r="J506" s="31">
        <v>28.46</v>
      </c>
      <c r="K506" s="51">
        <f t="shared" si="37"/>
        <v>0.16163265306122451</v>
      </c>
      <c r="L506" s="29">
        <f>19.6</f>
        <v>19.600000000000001</v>
      </c>
      <c r="M506" s="30">
        <v>19.600000000000001</v>
      </c>
      <c r="N506" s="29" t="e">
        <f>NA()</f>
        <v>#N/A</v>
      </c>
      <c r="O506" s="29" t="e">
        <v>#N/A</v>
      </c>
      <c r="P506" s="51" t="e">
        <f t="shared" si="35"/>
        <v>#N/A</v>
      </c>
      <c r="Q506" s="29">
        <f>2.1</f>
        <v>2.1</v>
      </c>
      <c r="R506" s="43">
        <v>10.5</v>
      </c>
      <c r="S506" s="32">
        <f t="shared" si="38"/>
        <v>2.9411764705882425E-2</v>
      </c>
      <c r="T506" s="54" t="e">
        <f>VLOOKUP(A506,[1]인포맥스!$A:$I,9,0)</f>
        <v>#N/A</v>
      </c>
      <c r="U506" s="70" t="e">
        <f t="shared" si="39"/>
        <v>#N/A</v>
      </c>
    </row>
    <row r="507" spans="1:21" x14ac:dyDescent="0.25">
      <c r="A507" s="3">
        <v>29006</v>
      </c>
      <c r="B507" s="29" t="e">
        <f>NA()</f>
        <v>#N/A</v>
      </c>
      <c r="C507" s="29" t="e">
        <v>#N/A</v>
      </c>
      <c r="D507" s="50">
        <f>54.4</f>
        <v>54.4</v>
      </c>
      <c r="E507" s="30">
        <v>54.4</v>
      </c>
      <c r="F507" s="29">
        <f>26.1</f>
        <v>26.1</v>
      </c>
      <c r="G507" s="31" t="e">
        <v>#N/A</v>
      </c>
      <c r="H507" s="51" t="e">
        <f t="shared" si="36"/>
        <v>#N/A</v>
      </c>
      <c r="I507" s="29">
        <f>17</f>
        <v>17</v>
      </c>
      <c r="J507" s="31">
        <v>28.29</v>
      </c>
      <c r="K507" s="51">
        <f t="shared" si="37"/>
        <v>0.16997518610421833</v>
      </c>
      <c r="L507" s="29">
        <f>21.8</f>
        <v>21.8</v>
      </c>
      <c r="M507" s="30">
        <v>21.8</v>
      </c>
      <c r="N507" s="29" t="e">
        <f>NA()</f>
        <v>#N/A</v>
      </c>
      <c r="O507" s="29" t="e">
        <v>#N/A</v>
      </c>
      <c r="P507" s="51" t="e">
        <f t="shared" si="35"/>
        <v>#N/A</v>
      </c>
      <c r="Q507" s="29">
        <f>2.7</f>
        <v>2.7</v>
      </c>
      <c r="R507" s="43">
        <v>10.5</v>
      </c>
      <c r="S507" s="32">
        <f t="shared" si="38"/>
        <v>2.9411764705882425E-2</v>
      </c>
      <c r="T507" s="54" t="e">
        <f>VLOOKUP(A507,[1]인포맥스!$A:$I,9,0)</f>
        <v>#N/A</v>
      </c>
      <c r="U507" s="70" t="e">
        <f t="shared" si="39"/>
        <v>#N/A</v>
      </c>
    </row>
    <row r="508" spans="1:21" x14ac:dyDescent="0.25">
      <c r="A508" s="3">
        <v>28975</v>
      </c>
      <c r="B508" s="29" t="e">
        <f>NA()</f>
        <v>#N/A</v>
      </c>
      <c r="C508" s="29" t="e">
        <v>#N/A</v>
      </c>
      <c r="D508" s="50">
        <f>56.2</f>
        <v>56.2</v>
      </c>
      <c r="E508" s="30">
        <v>56.2</v>
      </c>
      <c r="F508" s="29">
        <f>12.2</f>
        <v>12.2</v>
      </c>
      <c r="G508" s="31" t="e">
        <v>#N/A</v>
      </c>
      <c r="H508" s="51" t="e">
        <f t="shared" si="36"/>
        <v>#N/A</v>
      </c>
      <c r="I508" s="29">
        <f>14.8</f>
        <v>14.8</v>
      </c>
      <c r="J508" s="31">
        <v>27.52</v>
      </c>
      <c r="K508" s="51">
        <f t="shared" si="37"/>
        <v>0.14762301918265217</v>
      </c>
      <c r="L508" s="29">
        <f>19.3</f>
        <v>19.3</v>
      </c>
      <c r="M508" s="30">
        <v>19.3</v>
      </c>
      <c r="N508" s="29" t="e">
        <f>NA()</f>
        <v>#N/A</v>
      </c>
      <c r="O508" s="29" t="e">
        <v>#N/A</v>
      </c>
      <c r="P508" s="51" t="e">
        <f t="shared" si="35"/>
        <v>#N/A</v>
      </c>
      <c r="Q508" s="29">
        <f>4.6</f>
        <v>4.5999999999999996</v>
      </c>
      <c r="R508" s="43">
        <v>10.6</v>
      </c>
      <c r="S508" s="32">
        <f t="shared" si="38"/>
        <v>3.9215686274509838E-2</v>
      </c>
      <c r="T508" s="54" t="e">
        <f>VLOOKUP(A508,[1]인포맥스!$A:$I,9,0)</f>
        <v>#N/A</v>
      </c>
      <c r="U508" s="70" t="e">
        <f t="shared" si="39"/>
        <v>#N/A</v>
      </c>
    </row>
    <row r="509" spans="1:21" x14ac:dyDescent="0.25">
      <c r="A509" s="3">
        <v>28945</v>
      </c>
      <c r="B509" s="29" t="e">
        <f>NA()</f>
        <v>#N/A</v>
      </c>
      <c r="C509" s="29" t="e">
        <v>#N/A</v>
      </c>
      <c r="D509" s="50">
        <f>57.7</f>
        <v>57.7</v>
      </c>
      <c r="E509" s="30">
        <v>57.7</v>
      </c>
      <c r="F509" s="29">
        <f>20.5</f>
        <v>20.5</v>
      </c>
      <c r="G509" s="31" t="e">
        <v>#N/A</v>
      </c>
      <c r="H509" s="51" t="e">
        <f t="shared" si="36"/>
        <v>#N/A</v>
      </c>
      <c r="I509" s="29">
        <f>12.4</f>
        <v>12.4</v>
      </c>
      <c r="J509" s="31">
        <v>26.79</v>
      </c>
      <c r="K509" s="51">
        <f t="shared" si="37"/>
        <v>0.12421317666806551</v>
      </c>
      <c r="L509" s="29">
        <f>16.3</f>
        <v>16.3</v>
      </c>
      <c r="M509" s="30">
        <v>16.3</v>
      </c>
      <c r="N509" s="29" t="e">
        <f>NA()</f>
        <v>#N/A</v>
      </c>
      <c r="O509" s="29" t="e">
        <v>#N/A</v>
      </c>
      <c r="P509" s="51" t="e">
        <f t="shared" si="35"/>
        <v>#N/A</v>
      </c>
      <c r="Q509" s="29">
        <f>6.4</f>
        <v>6.4</v>
      </c>
      <c r="R509" s="43">
        <v>10.7</v>
      </c>
      <c r="S509" s="32">
        <f t="shared" si="38"/>
        <v>5.9405940594059375E-2</v>
      </c>
      <c r="T509" s="54" t="e">
        <f>VLOOKUP(A509,[1]인포맥스!$A:$I,9,0)</f>
        <v>#N/A</v>
      </c>
      <c r="U509" s="70" t="e">
        <f t="shared" si="39"/>
        <v>#N/A</v>
      </c>
    </row>
    <row r="510" spans="1:21" x14ac:dyDescent="0.25">
      <c r="A510" s="3">
        <v>28914</v>
      </c>
      <c r="B510" s="29" t="e">
        <f>NA()</f>
        <v>#N/A</v>
      </c>
      <c r="C510" s="29" t="e">
        <v>#N/A</v>
      </c>
      <c r="D510" s="50">
        <f>58.2</f>
        <v>58.2</v>
      </c>
      <c r="E510" s="30">
        <v>58.2</v>
      </c>
      <c r="F510" s="29">
        <f>21.8</f>
        <v>21.8</v>
      </c>
      <c r="G510" s="31" t="e">
        <v>#N/A</v>
      </c>
      <c r="H510" s="51" t="e">
        <f t="shared" si="36"/>
        <v>#N/A</v>
      </c>
      <c r="I510" s="29">
        <f>10.1</f>
        <v>10.1</v>
      </c>
      <c r="J510" s="31">
        <v>26.17</v>
      </c>
      <c r="K510" s="51">
        <f t="shared" si="37"/>
        <v>0.10143097643097643</v>
      </c>
      <c r="L510" s="29">
        <f>15.7</f>
        <v>15.7</v>
      </c>
      <c r="M510" s="30">
        <v>15.7</v>
      </c>
      <c r="N510" s="29" t="e">
        <f>NA()</f>
        <v>#N/A</v>
      </c>
      <c r="O510" s="29" t="e">
        <v>#N/A</v>
      </c>
      <c r="P510" s="51" t="e">
        <f t="shared" si="35"/>
        <v>#N/A</v>
      </c>
      <c r="Q510" s="29">
        <f>7.5</f>
        <v>7.5</v>
      </c>
      <c r="R510" s="43">
        <v>10.7</v>
      </c>
      <c r="S510" s="32">
        <f t="shared" si="38"/>
        <v>6.9999999999999923E-2</v>
      </c>
      <c r="T510" s="54" t="e">
        <f>VLOOKUP(A510,[1]인포맥스!$A:$I,9,0)</f>
        <v>#N/A</v>
      </c>
      <c r="U510" s="70" t="e">
        <f t="shared" si="39"/>
        <v>#N/A</v>
      </c>
    </row>
    <row r="511" spans="1:21" x14ac:dyDescent="0.25">
      <c r="A511" s="3">
        <v>28886</v>
      </c>
      <c r="B511" s="29" t="e">
        <f>NA()</f>
        <v>#N/A</v>
      </c>
      <c r="C511" s="29" t="e">
        <v>#N/A</v>
      </c>
      <c r="D511" s="50">
        <f>58.5</f>
        <v>58.5</v>
      </c>
      <c r="E511" s="30">
        <v>58.5</v>
      </c>
      <c r="F511" s="29">
        <f>8.5</f>
        <v>8.5</v>
      </c>
      <c r="G511" s="31" t="e">
        <v>#N/A</v>
      </c>
      <c r="H511" s="51" t="e">
        <f t="shared" si="36"/>
        <v>#N/A</v>
      </c>
      <c r="I511" s="29">
        <f>10.4</f>
        <v>10.4</v>
      </c>
      <c r="J511" s="31">
        <v>25.78</v>
      </c>
      <c r="K511" s="51">
        <f t="shared" si="37"/>
        <v>0.10406852248394002</v>
      </c>
      <c r="L511" s="29">
        <f>14.1</f>
        <v>14.1</v>
      </c>
      <c r="M511" s="30">
        <v>14.1</v>
      </c>
      <c r="N511" s="29" t="e">
        <f>NA()</f>
        <v>#N/A</v>
      </c>
      <c r="O511" s="29" t="e">
        <v>#N/A</v>
      </c>
      <c r="P511" s="51" t="e">
        <f t="shared" si="35"/>
        <v>#N/A</v>
      </c>
      <c r="Q511" s="29">
        <f>8.4</f>
        <v>8.4</v>
      </c>
      <c r="R511" s="43">
        <v>10.7</v>
      </c>
      <c r="S511" s="32">
        <f t="shared" si="38"/>
        <v>9.1836734693877403E-2</v>
      </c>
      <c r="T511" s="54" t="e">
        <f>VLOOKUP(A511,[1]인포맥스!$A:$I,9,0)</f>
        <v>#N/A</v>
      </c>
      <c r="U511" s="70" t="e">
        <f t="shared" si="39"/>
        <v>#N/A</v>
      </c>
    </row>
    <row r="512" spans="1:21" x14ac:dyDescent="0.25">
      <c r="A512" s="3">
        <v>28855</v>
      </c>
      <c r="B512" s="29" t="e">
        <f>NA()</f>
        <v>#N/A</v>
      </c>
      <c r="C512" s="29" t="e">
        <v>#N/A</v>
      </c>
      <c r="D512" s="50">
        <f>59.4</f>
        <v>59.4</v>
      </c>
      <c r="E512" s="30">
        <v>59.4</v>
      </c>
      <c r="F512" s="29">
        <f>2.6</f>
        <v>2.6</v>
      </c>
      <c r="G512" s="31" t="e">
        <v>#N/A</v>
      </c>
      <c r="H512" s="51" t="e">
        <f t="shared" si="36"/>
        <v>#N/A</v>
      </c>
      <c r="I512" s="29">
        <f>12.2</f>
        <v>12.2</v>
      </c>
      <c r="J512" s="31">
        <v>25.62</v>
      </c>
      <c r="K512" s="51">
        <f t="shared" si="37"/>
        <v>0.12220762155059145</v>
      </c>
      <c r="L512" s="29">
        <f>16.4</f>
        <v>16.399999999999999</v>
      </c>
      <c r="M512" s="30">
        <v>16.399999999999999</v>
      </c>
      <c r="N512" s="29" t="e">
        <f>NA()</f>
        <v>#N/A</v>
      </c>
      <c r="O512" s="29" t="e">
        <v>#N/A</v>
      </c>
      <c r="P512" s="51" t="e">
        <f t="shared" si="35"/>
        <v>#N/A</v>
      </c>
      <c r="Q512" s="29">
        <f>7.9</f>
        <v>7.9</v>
      </c>
      <c r="R512" s="43">
        <v>10.6</v>
      </c>
      <c r="S512" s="32">
        <f t="shared" si="38"/>
        <v>9.278350515463922E-2</v>
      </c>
      <c r="T512" s="54" t="e">
        <f>VLOOKUP(A512,[1]인포맥스!$A:$I,9,0)</f>
        <v>#N/A</v>
      </c>
      <c r="U512" s="70" t="e">
        <f t="shared" si="39"/>
        <v>#N/A</v>
      </c>
    </row>
    <row r="513" spans="1:21" x14ac:dyDescent="0.25">
      <c r="A513" s="3">
        <v>28824</v>
      </c>
      <c r="B513" s="29" t="e">
        <f>NA()</f>
        <v>#N/A</v>
      </c>
      <c r="C513" s="29" t="e">
        <v>#N/A</v>
      </c>
      <c r="D513" s="50">
        <f>61.3</f>
        <v>61.3</v>
      </c>
      <c r="E513" s="30">
        <v>61.3</v>
      </c>
      <c r="F513" s="29">
        <f>26.5</f>
        <v>26.5</v>
      </c>
      <c r="G513" s="31" t="e">
        <v>#N/A</v>
      </c>
      <c r="H513" s="51" t="e">
        <f t="shared" si="36"/>
        <v>#N/A</v>
      </c>
      <c r="I513" s="29">
        <f>13.4</f>
        <v>13.4</v>
      </c>
      <c r="J513" s="31">
        <v>25.55</v>
      </c>
      <c r="K513" s="51">
        <f t="shared" si="37"/>
        <v>0.13404349755881045</v>
      </c>
      <c r="L513" s="29">
        <f>17</f>
        <v>17</v>
      </c>
      <c r="M513" s="30">
        <v>17</v>
      </c>
      <c r="N513" s="29" t="e">
        <f>NA()</f>
        <v>#N/A</v>
      </c>
      <c r="O513" s="29" t="e">
        <v>#N/A</v>
      </c>
      <c r="P513" s="51" t="e">
        <f t="shared" si="35"/>
        <v>#N/A</v>
      </c>
      <c r="Q513" s="29">
        <f>8.4</f>
        <v>8.4</v>
      </c>
      <c r="R513" s="43">
        <v>10.5</v>
      </c>
      <c r="S513" s="32">
        <f t="shared" si="38"/>
        <v>9.3750000000000042E-2</v>
      </c>
      <c r="T513" s="54" t="e">
        <f>VLOOKUP(A513,[1]인포맥스!$A:$I,9,0)</f>
        <v>#N/A</v>
      </c>
      <c r="U513" s="70" t="e">
        <f t="shared" si="39"/>
        <v>#N/A</v>
      </c>
    </row>
    <row r="514" spans="1:21" x14ac:dyDescent="0.25">
      <c r="A514" s="3">
        <v>28794</v>
      </c>
      <c r="B514" s="29" t="e">
        <f>NA()</f>
        <v>#N/A</v>
      </c>
      <c r="C514" s="29" t="e">
        <v>#N/A</v>
      </c>
      <c r="D514" s="50">
        <f>60.1</f>
        <v>60.1</v>
      </c>
      <c r="E514" s="30">
        <v>60.1</v>
      </c>
      <c r="F514" s="29">
        <f>73.2</f>
        <v>73.2</v>
      </c>
      <c r="G514" s="31" t="e">
        <v>#N/A</v>
      </c>
      <c r="H514" s="51" t="e">
        <f t="shared" si="36"/>
        <v>#N/A</v>
      </c>
      <c r="I514" s="29">
        <f>13.1</f>
        <v>13.1</v>
      </c>
      <c r="J514" s="31">
        <v>25.38</v>
      </c>
      <c r="K514" s="51">
        <f t="shared" si="37"/>
        <v>0.13101604278074855</v>
      </c>
      <c r="L514" s="29">
        <f>16.8</f>
        <v>16.8</v>
      </c>
      <c r="M514" s="30">
        <v>16.8</v>
      </c>
      <c r="N514" s="29" t="e">
        <f>NA()</f>
        <v>#N/A</v>
      </c>
      <c r="O514" s="29" t="e">
        <v>#N/A</v>
      </c>
      <c r="P514" s="51" t="e">
        <f t="shared" si="35"/>
        <v>#N/A</v>
      </c>
      <c r="Q514" s="29">
        <f>8.9</f>
        <v>8.9</v>
      </c>
      <c r="R514" s="43">
        <v>10.5</v>
      </c>
      <c r="S514" s="32">
        <f t="shared" si="38"/>
        <v>0.10526315789473684</v>
      </c>
      <c r="T514" s="54" t="e">
        <f>VLOOKUP(A514,[1]인포맥스!$A:$I,9,0)</f>
        <v>#N/A</v>
      </c>
      <c r="U514" s="70" t="e">
        <f t="shared" si="39"/>
        <v>#N/A</v>
      </c>
    </row>
    <row r="515" spans="1:21" x14ac:dyDescent="0.25">
      <c r="A515" s="3">
        <v>28763</v>
      </c>
      <c r="B515" s="29" t="e">
        <f>NA()</f>
        <v>#N/A</v>
      </c>
      <c r="C515" s="29" t="e">
        <v>#N/A</v>
      </c>
      <c r="D515" s="50">
        <f>60.5</f>
        <v>60.5</v>
      </c>
      <c r="E515" s="30">
        <v>60.5</v>
      </c>
      <c r="F515" s="29">
        <f>32</f>
        <v>32</v>
      </c>
      <c r="G515" s="31" t="e">
        <v>#N/A</v>
      </c>
      <c r="H515" s="51" t="e">
        <f t="shared" si="36"/>
        <v>#N/A</v>
      </c>
      <c r="I515" s="29">
        <f>12.3</f>
        <v>12.3</v>
      </c>
      <c r="J515" s="31">
        <v>25.11</v>
      </c>
      <c r="K515" s="51">
        <f t="shared" si="37"/>
        <v>0.12298747763864043</v>
      </c>
      <c r="L515" s="29">
        <f>15.5</f>
        <v>15.5</v>
      </c>
      <c r="M515" s="30">
        <v>15.5</v>
      </c>
      <c r="N515" s="29" t="e">
        <f>NA()</f>
        <v>#N/A</v>
      </c>
      <c r="O515" s="29" t="e">
        <v>#N/A</v>
      </c>
      <c r="P515" s="51" t="e">
        <f t="shared" si="35"/>
        <v>#N/A</v>
      </c>
      <c r="Q515" s="29">
        <f>9.5</f>
        <v>9.5</v>
      </c>
      <c r="R515" s="43">
        <v>10.4</v>
      </c>
      <c r="S515" s="32">
        <f t="shared" si="38"/>
        <v>9.4736842105263189E-2</v>
      </c>
      <c r="T515" s="54" t="e">
        <f>VLOOKUP(A515,[1]인포맥스!$A:$I,9,0)</f>
        <v>#N/A</v>
      </c>
      <c r="U515" s="70" t="e">
        <f t="shared" si="39"/>
        <v>#N/A</v>
      </c>
    </row>
    <row r="516" spans="1:21" x14ac:dyDescent="0.25">
      <c r="A516" s="3">
        <v>28733</v>
      </c>
      <c r="B516" s="29" t="e">
        <f>NA()</f>
        <v>#N/A</v>
      </c>
      <c r="C516" s="29" t="e">
        <v>#N/A</v>
      </c>
      <c r="D516" s="50">
        <f>60.3</f>
        <v>60.3</v>
      </c>
      <c r="E516" s="30">
        <v>60.3</v>
      </c>
      <c r="F516" s="29">
        <f>21.2</f>
        <v>21.2</v>
      </c>
      <c r="G516" s="31" t="e">
        <v>#N/A</v>
      </c>
      <c r="H516" s="51" t="e">
        <f t="shared" si="36"/>
        <v>#N/A</v>
      </c>
      <c r="I516" s="29">
        <f>10.9</f>
        <v>10.9</v>
      </c>
      <c r="J516" s="31">
        <v>24.63</v>
      </c>
      <c r="K516" s="51">
        <f t="shared" si="37"/>
        <v>0.10945945945945945</v>
      </c>
      <c r="L516" s="29">
        <f>13.5</f>
        <v>13.5</v>
      </c>
      <c r="M516" s="30">
        <v>13.5</v>
      </c>
      <c r="N516" s="29" t="e">
        <f>NA()</f>
        <v>#N/A</v>
      </c>
      <c r="O516" s="29" t="e">
        <v>#N/A</v>
      </c>
      <c r="P516" s="51" t="e">
        <f t="shared" si="35"/>
        <v>#N/A</v>
      </c>
      <c r="Q516" s="29">
        <f>9.6</f>
        <v>9.6</v>
      </c>
      <c r="R516" s="43">
        <v>10.3</v>
      </c>
      <c r="S516" s="32">
        <f t="shared" si="38"/>
        <v>9.5744680851063871E-2</v>
      </c>
      <c r="T516" s="54" t="e">
        <f>VLOOKUP(A516,[1]인포맥스!$A:$I,9,0)</f>
        <v>#N/A</v>
      </c>
      <c r="U516" s="70" t="e">
        <f t="shared" si="39"/>
        <v>#N/A</v>
      </c>
    </row>
    <row r="517" spans="1:21" x14ac:dyDescent="0.25">
      <c r="A517" s="3">
        <v>28702</v>
      </c>
      <c r="B517" s="29" t="e">
        <f>NA()</f>
        <v>#N/A</v>
      </c>
      <c r="C517" s="29" t="e">
        <v>#N/A</v>
      </c>
      <c r="D517" s="50">
        <f>62.2</f>
        <v>62.2</v>
      </c>
      <c r="E517" s="30">
        <v>62.2</v>
      </c>
      <c r="F517" s="29">
        <f>25.3</f>
        <v>25.3</v>
      </c>
      <c r="G517" s="31" t="e">
        <v>#N/A</v>
      </c>
      <c r="H517" s="51" t="e">
        <f t="shared" si="36"/>
        <v>#N/A</v>
      </c>
      <c r="I517" s="29">
        <f>11.7</f>
        <v>11.7</v>
      </c>
      <c r="J517" s="31">
        <v>24.61</v>
      </c>
      <c r="K517" s="51">
        <f t="shared" si="37"/>
        <v>0.11660617059891108</v>
      </c>
      <c r="L517" s="29">
        <f>14.8</f>
        <v>14.8</v>
      </c>
      <c r="M517" s="30">
        <v>14.8</v>
      </c>
      <c r="N517" s="29" t="e">
        <f>NA()</f>
        <v>#N/A</v>
      </c>
      <c r="O517" s="29" t="e">
        <v>#N/A</v>
      </c>
      <c r="P517" s="51" t="e">
        <f t="shared" ref="P517:P580" si="40">(O517-O529)/O529</f>
        <v>#N/A</v>
      </c>
      <c r="Q517" s="29">
        <f>10</f>
        <v>10</v>
      </c>
      <c r="R517" s="43">
        <v>10.3</v>
      </c>
      <c r="S517" s="32">
        <f t="shared" si="38"/>
        <v>0.1075268817204301</v>
      </c>
      <c r="T517" s="54" t="e">
        <f>VLOOKUP(A517,[1]인포맥스!$A:$I,9,0)</f>
        <v>#N/A</v>
      </c>
      <c r="U517" s="70" t="e">
        <f t="shared" si="39"/>
        <v>#N/A</v>
      </c>
    </row>
    <row r="518" spans="1:21" x14ac:dyDescent="0.25">
      <c r="A518" s="3">
        <v>28671</v>
      </c>
      <c r="B518" s="29" t="e">
        <f>NA()</f>
        <v>#N/A</v>
      </c>
      <c r="C518" s="29" t="e">
        <v>#N/A</v>
      </c>
      <c r="D518" s="50">
        <f>60.5</f>
        <v>60.5</v>
      </c>
      <c r="E518" s="30">
        <v>60.5</v>
      </c>
      <c r="F518" s="29">
        <f>18.6</f>
        <v>18.600000000000001</v>
      </c>
      <c r="G518" s="31" t="e">
        <v>#N/A</v>
      </c>
      <c r="H518" s="51" t="e">
        <f t="shared" ref="H518:H581" si="41">(G518-G530)/G530</f>
        <v>#N/A</v>
      </c>
      <c r="I518" s="29">
        <f>11.7</f>
        <v>11.7</v>
      </c>
      <c r="J518" s="31">
        <v>24.5</v>
      </c>
      <c r="K518" s="51">
        <f t="shared" ref="K518:K581" si="42">(J518-J530)/J530</f>
        <v>0.11719106247150024</v>
      </c>
      <c r="L518" s="29">
        <f>14.6</f>
        <v>14.6</v>
      </c>
      <c r="M518" s="30">
        <v>14.6</v>
      </c>
      <c r="N518" s="29" t="e">
        <f>NA()</f>
        <v>#N/A</v>
      </c>
      <c r="O518" s="29" t="e">
        <v>#N/A</v>
      </c>
      <c r="P518" s="51" t="e">
        <f t="shared" si="40"/>
        <v>#N/A</v>
      </c>
      <c r="Q518" s="29">
        <f>10.5</f>
        <v>10.5</v>
      </c>
      <c r="R518" s="43">
        <v>10.199999999999999</v>
      </c>
      <c r="S518" s="32">
        <f t="shared" ref="S518:S581" si="43">(R518-R530)/R530</f>
        <v>0.10869565217391305</v>
      </c>
      <c r="T518" s="54" t="e">
        <f>VLOOKUP(A518,[1]인포맥스!$A:$I,9,0)</f>
        <v>#N/A</v>
      </c>
      <c r="U518" s="70" t="e">
        <f t="shared" ref="U518:U581" si="44">(T518-T530)/T530</f>
        <v>#N/A</v>
      </c>
    </row>
    <row r="519" spans="1:21" x14ac:dyDescent="0.25">
      <c r="A519" s="3">
        <v>28641</v>
      </c>
      <c r="B519" s="29" t="e">
        <f>NA()</f>
        <v>#N/A</v>
      </c>
      <c r="C519" s="29" t="e">
        <v>#N/A</v>
      </c>
      <c r="D519" s="50">
        <f>60.2</f>
        <v>60.2</v>
      </c>
      <c r="E519" s="30">
        <v>60.2</v>
      </c>
      <c r="F519" s="29">
        <f>27.1</f>
        <v>27.1</v>
      </c>
      <c r="G519" s="31" t="e">
        <v>#N/A</v>
      </c>
      <c r="H519" s="51" t="e">
        <f t="shared" si="41"/>
        <v>#N/A</v>
      </c>
      <c r="I519" s="29">
        <f>11.2</f>
        <v>11.2</v>
      </c>
      <c r="J519" s="31">
        <v>24.18</v>
      </c>
      <c r="K519" s="51">
        <f t="shared" si="42"/>
        <v>0.11172413793103447</v>
      </c>
      <c r="L519" s="29">
        <f>12.6</f>
        <v>12.6</v>
      </c>
      <c r="M519" s="30">
        <v>12.6</v>
      </c>
      <c r="N519" s="29" t="e">
        <f>NA()</f>
        <v>#N/A</v>
      </c>
      <c r="O519" s="29" t="e">
        <v>#N/A</v>
      </c>
      <c r="P519" s="51" t="e">
        <f t="shared" si="40"/>
        <v>#N/A</v>
      </c>
      <c r="Q519" s="29">
        <f>11.6</f>
        <v>11.6</v>
      </c>
      <c r="R519" s="43">
        <v>10.199999999999999</v>
      </c>
      <c r="S519" s="32">
        <f t="shared" si="43"/>
        <v>0.13333333333333325</v>
      </c>
      <c r="T519" s="54" t="e">
        <f>VLOOKUP(A519,[1]인포맥스!$A:$I,9,0)</f>
        <v>#N/A</v>
      </c>
      <c r="U519" s="70" t="e">
        <f t="shared" si="44"/>
        <v>#N/A</v>
      </c>
    </row>
    <row r="520" spans="1:21" x14ac:dyDescent="0.25">
      <c r="A520" s="3">
        <v>28610</v>
      </c>
      <c r="B520" s="29" t="e">
        <f>NA()</f>
        <v>#N/A</v>
      </c>
      <c r="C520" s="29" t="e">
        <v>#N/A</v>
      </c>
      <c r="D520" s="50">
        <f>57.7</f>
        <v>57.7</v>
      </c>
      <c r="E520" s="30">
        <v>57.7</v>
      </c>
      <c r="F520" s="29">
        <f>28.6</f>
        <v>28.6</v>
      </c>
      <c r="G520" s="31" t="e">
        <v>#N/A</v>
      </c>
      <c r="H520" s="51" t="e">
        <f t="shared" si="41"/>
        <v>#N/A</v>
      </c>
      <c r="I520" s="29">
        <f>10.9</f>
        <v>10.9</v>
      </c>
      <c r="J520" s="31">
        <v>23.98</v>
      </c>
      <c r="K520" s="51">
        <f t="shared" si="42"/>
        <v>0.1086453999075359</v>
      </c>
      <c r="L520" s="29">
        <f>12.6</f>
        <v>12.6</v>
      </c>
      <c r="M520" s="30">
        <v>12.6</v>
      </c>
      <c r="N520" s="29" t="e">
        <f>NA()</f>
        <v>#N/A</v>
      </c>
      <c r="O520" s="29" t="e">
        <v>#N/A</v>
      </c>
      <c r="P520" s="51" t="e">
        <f t="shared" si="40"/>
        <v>#N/A</v>
      </c>
      <c r="Q520" s="29">
        <f>11.9</f>
        <v>11.9</v>
      </c>
      <c r="R520" s="43">
        <v>10.199999999999999</v>
      </c>
      <c r="S520" s="32">
        <f t="shared" si="43"/>
        <v>0.13333333333333325</v>
      </c>
      <c r="T520" s="54" t="e">
        <f>VLOOKUP(A520,[1]인포맥스!$A:$I,9,0)</f>
        <v>#N/A</v>
      </c>
      <c r="U520" s="70" t="e">
        <f t="shared" si="44"/>
        <v>#N/A</v>
      </c>
    </row>
    <row r="521" spans="1:21" x14ac:dyDescent="0.25">
      <c r="A521" s="3">
        <v>28580</v>
      </c>
      <c r="B521" s="29" t="e">
        <f>NA()</f>
        <v>#N/A</v>
      </c>
      <c r="C521" s="29" t="e">
        <v>#N/A</v>
      </c>
      <c r="D521" s="50">
        <f>55</f>
        <v>55</v>
      </c>
      <c r="E521" s="30">
        <v>55</v>
      </c>
      <c r="F521" s="29">
        <f>32.3</f>
        <v>32.299999999999997</v>
      </c>
      <c r="G521" s="31" t="e">
        <v>#N/A</v>
      </c>
      <c r="H521" s="51" t="e">
        <f t="shared" si="41"/>
        <v>#N/A</v>
      </c>
      <c r="I521" s="29">
        <f>10.6</f>
        <v>10.6</v>
      </c>
      <c r="J521" s="31">
        <v>23.83</v>
      </c>
      <c r="K521" s="51">
        <f t="shared" si="42"/>
        <v>0.10631383472609096</v>
      </c>
      <c r="L521" s="29">
        <f>12.9</f>
        <v>12.9</v>
      </c>
      <c r="M521" s="30">
        <v>12.9</v>
      </c>
      <c r="N521" s="29" t="e">
        <f>NA()</f>
        <v>#N/A</v>
      </c>
      <c r="O521" s="29" t="e">
        <v>#N/A</v>
      </c>
      <c r="P521" s="51" t="e">
        <f t="shared" si="40"/>
        <v>#N/A</v>
      </c>
      <c r="Q521" s="29">
        <f>11.8</f>
        <v>11.8</v>
      </c>
      <c r="R521" s="43">
        <v>10.1</v>
      </c>
      <c r="S521" s="32">
        <f t="shared" si="43"/>
        <v>0.13483146067415722</v>
      </c>
      <c r="T521" s="54" t="e">
        <f>VLOOKUP(A521,[1]인포맥스!$A:$I,9,0)</f>
        <v>#N/A</v>
      </c>
      <c r="U521" s="70" t="e">
        <f t="shared" si="44"/>
        <v>#N/A</v>
      </c>
    </row>
    <row r="522" spans="1:21" x14ac:dyDescent="0.25">
      <c r="A522" s="3">
        <v>28549</v>
      </c>
      <c r="B522" s="29" t="e">
        <f>NA()</f>
        <v>#N/A</v>
      </c>
      <c r="C522" s="29" t="e">
        <v>#N/A</v>
      </c>
      <c r="D522" s="50">
        <f>55.9</f>
        <v>55.9</v>
      </c>
      <c r="E522" s="30">
        <v>55.9</v>
      </c>
      <c r="F522" s="29">
        <f>31.5</f>
        <v>31.5</v>
      </c>
      <c r="G522" s="31" t="e">
        <v>#N/A</v>
      </c>
      <c r="H522" s="51" t="e">
        <f t="shared" si="41"/>
        <v>#N/A</v>
      </c>
      <c r="I522" s="29">
        <f>10.9</f>
        <v>10.9</v>
      </c>
      <c r="J522" s="31">
        <v>23.76</v>
      </c>
      <c r="K522" s="51">
        <f t="shared" si="42"/>
        <v>0.10872608492767158</v>
      </c>
      <c r="L522" s="29">
        <f>13</f>
        <v>13</v>
      </c>
      <c r="M522" s="30">
        <v>13</v>
      </c>
      <c r="N522" s="29" t="e">
        <f>NA()</f>
        <v>#N/A</v>
      </c>
      <c r="O522" s="29" t="e">
        <v>#N/A</v>
      </c>
      <c r="P522" s="51" t="e">
        <f t="shared" si="40"/>
        <v>#N/A</v>
      </c>
      <c r="Q522" s="29">
        <f>11.5</f>
        <v>11.5</v>
      </c>
      <c r="R522" s="43">
        <v>10</v>
      </c>
      <c r="S522" s="32">
        <f t="shared" si="43"/>
        <v>0.12359550561797748</v>
      </c>
      <c r="T522" s="54" t="e">
        <f>VLOOKUP(A522,[1]인포맥스!$A:$I,9,0)</f>
        <v>#N/A</v>
      </c>
      <c r="U522" s="70" t="e">
        <f t="shared" si="44"/>
        <v>#N/A</v>
      </c>
    </row>
    <row r="523" spans="1:21" x14ac:dyDescent="0.25">
      <c r="A523" s="3">
        <v>28521</v>
      </c>
      <c r="B523" s="29" t="e">
        <f>NA()</f>
        <v>#N/A</v>
      </c>
      <c r="C523" s="29" t="e">
        <v>#N/A</v>
      </c>
      <c r="D523" s="50">
        <f>57.4</f>
        <v>57.4</v>
      </c>
      <c r="E523" s="30">
        <v>57.4</v>
      </c>
      <c r="F523" s="29">
        <f>20.5</f>
        <v>20.5</v>
      </c>
      <c r="G523" s="31" t="e">
        <v>#N/A</v>
      </c>
      <c r="H523" s="51" t="e">
        <f t="shared" si="41"/>
        <v>#N/A</v>
      </c>
      <c r="I523" s="29">
        <f>11.3</f>
        <v>11.3</v>
      </c>
      <c r="J523" s="31">
        <v>23.35</v>
      </c>
      <c r="K523" s="51">
        <f t="shared" si="42"/>
        <v>0.11296472831267879</v>
      </c>
      <c r="L523" s="29">
        <f>13.3</f>
        <v>13.3</v>
      </c>
      <c r="M523" s="30">
        <v>13.3</v>
      </c>
      <c r="N523" s="29" t="e">
        <f>NA()</f>
        <v>#N/A</v>
      </c>
      <c r="O523" s="29" t="e">
        <v>#N/A</v>
      </c>
      <c r="P523" s="51" t="e">
        <f t="shared" si="40"/>
        <v>#N/A</v>
      </c>
      <c r="Q523" s="29">
        <f>10.9</f>
        <v>10.9</v>
      </c>
      <c r="R523" s="43">
        <v>9.8000000000000007</v>
      </c>
      <c r="S523" s="32">
        <f t="shared" si="43"/>
        <v>0.11363636363636363</v>
      </c>
      <c r="T523" s="54" t="e">
        <f>VLOOKUP(A523,[1]인포맥스!$A:$I,9,0)</f>
        <v>#N/A</v>
      </c>
      <c r="U523" s="70" t="e">
        <f t="shared" si="44"/>
        <v>#N/A</v>
      </c>
    </row>
    <row r="524" spans="1:21" x14ac:dyDescent="0.25">
      <c r="A524" s="3">
        <v>28490</v>
      </c>
      <c r="B524" s="29" t="e">
        <f>NA()</f>
        <v>#N/A</v>
      </c>
      <c r="C524" s="29" t="e">
        <v>#N/A</v>
      </c>
      <c r="D524" s="50">
        <f>59.8</f>
        <v>59.8</v>
      </c>
      <c r="E524" s="30">
        <v>59.8</v>
      </c>
      <c r="F524" s="29">
        <f>63.1</f>
        <v>63.1</v>
      </c>
      <c r="G524" s="31" t="e">
        <v>#N/A</v>
      </c>
      <c r="H524" s="51" t="e">
        <f t="shared" si="41"/>
        <v>#N/A</v>
      </c>
      <c r="I524" s="29">
        <f>10.1</f>
        <v>10.1</v>
      </c>
      <c r="J524" s="31">
        <v>22.83</v>
      </c>
      <c r="K524" s="51">
        <f t="shared" si="42"/>
        <v>0.10077145612343298</v>
      </c>
      <c r="L524" s="29">
        <f>11</f>
        <v>11</v>
      </c>
      <c r="M524" s="30">
        <v>11</v>
      </c>
      <c r="N524" s="29" t="e">
        <f>NA()</f>
        <v>#N/A</v>
      </c>
      <c r="O524" s="29" t="e">
        <v>#N/A</v>
      </c>
      <c r="P524" s="51" t="e">
        <f t="shared" si="40"/>
        <v>#N/A</v>
      </c>
      <c r="Q524" s="29">
        <f>10.6</f>
        <v>10.6</v>
      </c>
      <c r="R524" s="43">
        <v>9.6999999999999993</v>
      </c>
      <c r="S524" s="32">
        <f t="shared" si="43"/>
        <v>0.1022727272727271</v>
      </c>
      <c r="T524" s="54" t="e">
        <f>VLOOKUP(A524,[1]인포맥스!$A:$I,9,0)</f>
        <v>#N/A</v>
      </c>
      <c r="U524" s="70" t="e">
        <f t="shared" si="44"/>
        <v>#N/A</v>
      </c>
    </row>
    <row r="525" spans="1:21" x14ac:dyDescent="0.25">
      <c r="A525" s="3">
        <v>28459</v>
      </c>
      <c r="B525" s="29" t="e">
        <f>NA()</f>
        <v>#N/A</v>
      </c>
      <c r="C525" s="29" t="e">
        <v>#N/A</v>
      </c>
      <c r="D525" s="50">
        <f>56.1</f>
        <v>56.1</v>
      </c>
      <c r="E525" s="30">
        <v>56.1</v>
      </c>
      <c r="F525" s="29">
        <f>28.9</f>
        <v>28.9</v>
      </c>
      <c r="G525" s="31" t="e">
        <v>#N/A</v>
      </c>
      <c r="H525" s="51" t="e">
        <f t="shared" si="41"/>
        <v>#N/A</v>
      </c>
      <c r="I525" s="29">
        <f>8.7</f>
        <v>8.6999999999999993</v>
      </c>
      <c r="J525" s="31">
        <v>22.53</v>
      </c>
      <c r="K525" s="51">
        <f t="shared" si="42"/>
        <v>8.7355212355212472E-2</v>
      </c>
      <c r="L525" s="29">
        <f>10.6</f>
        <v>10.6</v>
      </c>
      <c r="M525" s="30">
        <v>10.6</v>
      </c>
      <c r="N525" s="29" t="e">
        <f>NA()</f>
        <v>#N/A</v>
      </c>
      <c r="O525" s="29" t="e">
        <v>#N/A</v>
      </c>
      <c r="P525" s="51" t="e">
        <f t="shared" si="40"/>
        <v>#N/A</v>
      </c>
      <c r="Q525" s="29">
        <f>10.4</f>
        <v>10.4</v>
      </c>
      <c r="R525" s="43">
        <v>9.6</v>
      </c>
      <c r="S525" s="32">
        <f t="shared" si="43"/>
        <v>0.10344827586206902</v>
      </c>
      <c r="T525" s="54" t="e">
        <f>VLOOKUP(A525,[1]인포맥스!$A:$I,9,0)</f>
        <v>#N/A</v>
      </c>
      <c r="U525" s="70" t="e">
        <f t="shared" si="44"/>
        <v>#N/A</v>
      </c>
    </row>
    <row r="526" spans="1:21" x14ac:dyDescent="0.25">
      <c r="A526" s="3">
        <v>28429</v>
      </c>
      <c r="B526" s="29" t="e">
        <f>NA()</f>
        <v>#N/A</v>
      </c>
      <c r="C526" s="29" t="e">
        <v>#N/A</v>
      </c>
      <c r="D526" s="50">
        <f>55.4</f>
        <v>55.4</v>
      </c>
      <c r="E526" s="30">
        <v>55.4</v>
      </c>
      <c r="F526" s="29">
        <f>4.6</f>
        <v>4.5999999999999996</v>
      </c>
      <c r="G526" s="31" t="e">
        <v>#N/A</v>
      </c>
      <c r="H526" s="51" t="e">
        <f t="shared" si="41"/>
        <v>#N/A</v>
      </c>
      <c r="I526" s="29">
        <f>9.3</f>
        <v>9.3000000000000007</v>
      </c>
      <c r="J526" s="31">
        <v>22.44</v>
      </c>
      <c r="K526" s="51">
        <f t="shared" si="42"/>
        <v>9.3034583536288365E-2</v>
      </c>
      <c r="L526" s="29">
        <f>10.1</f>
        <v>10.1</v>
      </c>
      <c r="M526" s="30">
        <v>10.1</v>
      </c>
      <c r="N526" s="29" t="e">
        <f>NA()</f>
        <v>#N/A</v>
      </c>
      <c r="O526" s="29" t="e">
        <v>#N/A</v>
      </c>
      <c r="P526" s="51" t="e">
        <f t="shared" si="40"/>
        <v>#N/A</v>
      </c>
      <c r="Q526" s="29">
        <f>10</f>
        <v>10</v>
      </c>
      <c r="R526" s="43">
        <v>9.5</v>
      </c>
      <c r="S526" s="32">
        <f t="shared" si="43"/>
        <v>0.10465116279069772</v>
      </c>
      <c r="T526" s="54" t="e">
        <f>VLOOKUP(A526,[1]인포맥스!$A:$I,9,0)</f>
        <v>#N/A</v>
      </c>
      <c r="U526" s="70" t="e">
        <f t="shared" si="44"/>
        <v>#N/A</v>
      </c>
    </row>
    <row r="527" spans="1:21" x14ac:dyDescent="0.25">
      <c r="A527" s="3">
        <v>28398</v>
      </c>
      <c r="B527" s="29" t="e">
        <f>NA()</f>
        <v>#N/A</v>
      </c>
      <c r="C527" s="29" t="e">
        <v>#N/A</v>
      </c>
      <c r="D527" s="50">
        <f>53.9</f>
        <v>53.9</v>
      </c>
      <c r="E527" s="30">
        <v>53.9</v>
      </c>
      <c r="F527" s="29">
        <f>30</f>
        <v>30</v>
      </c>
      <c r="G527" s="31" t="e">
        <v>#N/A</v>
      </c>
      <c r="H527" s="51" t="e">
        <f t="shared" si="41"/>
        <v>#N/A</v>
      </c>
      <c r="I527" s="29">
        <f>9.3</f>
        <v>9.3000000000000007</v>
      </c>
      <c r="J527" s="31">
        <v>22.36</v>
      </c>
      <c r="K527" s="51">
        <f t="shared" si="42"/>
        <v>9.286412512218957E-2</v>
      </c>
      <c r="L527" s="29">
        <f>9.2</f>
        <v>9.1999999999999993</v>
      </c>
      <c r="M527" s="30">
        <v>9.1999999999999993</v>
      </c>
      <c r="N527" s="29" t="e">
        <f>NA()</f>
        <v>#N/A</v>
      </c>
      <c r="O527" s="29" t="e">
        <v>#N/A</v>
      </c>
      <c r="P527" s="51" t="e">
        <f t="shared" si="40"/>
        <v>#N/A</v>
      </c>
      <c r="Q527" s="29">
        <f>10</f>
        <v>10</v>
      </c>
      <c r="R527" s="43">
        <v>9.5</v>
      </c>
      <c r="S527" s="32">
        <f t="shared" si="43"/>
        <v>0.10465116279069772</v>
      </c>
      <c r="T527" s="54" t="e">
        <f>VLOOKUP(A527,[1]인포맥스!$A:$I,9,0)</f>
        <v>#N/A</v>
      </c>
      <c r="U527" s="70" t="e">
        <f t="shared" si="44"/>
        <v>#N/A</v>
      </c>
    </row>
    <row r="528" spans="1:21" x14ac:dyDescent="0.25">
      <c r="A528" s="3">
        <v>28368</v>
      </c>
      <c r="B528" s="29" t="e">
        <f>NA()</f>
        <v>#N/A</v>
      </c>
      <c r="C528" s="29" t="e">
        <v>#N/A</v>
      </c>
      <c r="D528" s="50">
        <f>54.9</f>
        <v>54.9</v>
      </c>
      <c r="E528" s="30">
        <v>54.9</v>
      </c>
      <c r="F528" s="29">
        <f>26.9</f>
        <v>26.9</v>
      </c>
      <c r="G528" s="31" t="e">
        <v>#N/A</v>
      </c>
      <c r="H528" s="51" t="e">
        <f t="shared" si="41"/>
        <v>#N/A</v>
      </c>
      <c r="I528" s="29">
        <f>9.2</f>
        <v>9.1999999999999993</v>
      </c>
      <c r="J528" s="31">
        <v>22.2</v>
      </c>
      <c r="K528" s="51">
        <f t="shared" si="42"/>
        <v>9.1982292179045799E-2</v>
      </c>
      <c r="L528" s="29">
        <f>9.7</f>
        <v>9.6999999999999993</v>
      </c>
      <c r="M528" s="30">
        <v>9.6999999999999993</v>
      </c>
      <c r="N528" s="29" t="e">
        <f>NA()</f>
        <v>#N/A</v>
      </c>
      <c r="O528" s="29" t="e">
        <v>#N/A</v>
      </c>
      <c r="P528" s="51" t="e">
        <f t="shared" si="40"/>
        <v>#N/A</v>
      </c>
      <c r="Q528" s="29">
        <f>10.4</f>
        <v>10.4</v>
      </c>
      <c r="R528" s="43">
        <v>9.4</v>
      </c>
      <c r="S528" s="32">
        <f t="shared" si="43"/>
        <v>0.10588235294117651</v>
      </c>
      <c r="T528" s="54" t="e">
        <f>VLOOKUP(A528,[1]인포맥스!$A:$I,9,0)</f>
        <v>#N/A</v>
      </c>
      <c r="U528" s="70" t="e">
        <f t="shared" si="44"/>
        <v>#N/A</v>
      </c>
    </row>
    <row r="529" spans="1:21" x14ac:dyDescent="0.25">
      <c r="A529" s="3">
        <v>28337</v>
      </c>
      <c r="B529" s="29" t="e">
        <f>NA()</f>
        <v>#N/A</v>
      </c>
      <c r="C529" s="29" t="e">
        <v>#N/A</v>
      </c>
      <c r="D529" s="50">
        <f>57.7</f>
        <v>57.7</v>
      </c>
      <c r="E529" s="30">
        <v>57.7</v>
      </c>
      <c r="F529" s="29">
        <f>12.5</f>
        <v>12.5</v>
      </c>
      <c r="G529" s="31" t="e">
        <v>#N/A</v>
      </c>
      <c r="H529" s="51" t="e">
        <f t="shared" si="41"/>
        <v>#N/A</v>
      </c>
      <c r="I529" s="29">
        <f>8.9</f>
        <v>8.9</v>
      </c>
      <c r="J529" s="31">
        <v>22.04</v>
      </c>
      <c r="K529" s="51">
        <f t="shared" si="42"/>
        <v>8.8932806324110714E-2</v>
      </c>
      <c r="L529" s="29">
        <f>9.4</f>
        <v>9.4</v>
      </c>
      <c r="M529" s="30">
        <v>9.4</v>
      </c>
      <c r="N529" s="29" t="e">
        <f>NA()</f>
        <v>#N/A</v>
      </c>
      <c r="O529" s="29" t="e">
        <v>#N/A</v>
      </c>
      <c r="P529" s="51" t="e">
        <f t="shared" si="40"/>
        <v>#N/A</v>
      </c>
      <c r="Q529" s="29">
        <f>10.1</f>
        <v>10.1</v>
      </c>
      <c r="R529" s="43">
        <v>9.3000000000000007</v>
      </c>
      <c r="S529" s="32">
        <f t="shared" si="43"/>
        <v>9.4117647058823611E-2</v>
      </c>
      <c r="T529" s="54" t="e">
        <f>VLOOKUP(A529,[1]인포맥스!$A:$I,9,0)</f>
        <v>#N/A</v>
      </c>
      <c r="U529" s="70" t="e">
        <f t="shared" si="44"/>
        <v>#N/A</v>
      </c>
    </row>
    <row r="530" spans="1:21" x14ac:dyDescent="0.25">
      <c r="A530" s="3">
        <v>28306</v>
      </c>
      <c r="B530" s="29" t="e">
        <f>NA()</f>
        <v>#N/A</v>
      </c>
      <c r="C530" s="29" t="e">
        <v>#N/A</v>
      </c>
      <c r="D530" s="50">
        <f>56.8</f>
        <v>56.8</v>
      </c>
      <c r="E530" s="30">
        <v>56.8</v>
      </c>
      <c r="F530" s="29">
        <f>21.9</f>
        <v>21.9</v>
      </c>
      <c r="G530" s="31" t="e">
        <v>#N/A</v>
      </c>
      <c r="H530" s="51" t="e">
        <f t="shared" si="41"/>
        <v>#N/A</v>
      </c>
      <c r="I530" s="29">
        <f>9</f>
        <v>9</v>
      </c>
      <c r="J530" s="31">
        <v>21.93</v>
      </c>
      <c r="K530" s="51">
        <f t="shared" si="42"/>
        <v>8.9960238568588397E-2</v>
      </c>
      <c r="L530" s="29">
        <f>10.1</f>
        <v>10.1</v>
      </c>
      <c r="M530" s="30">
        <v>10.1</v>
      </c>
      <c r="N530" s="29" t="e">
        <f>NA()</f>
        <v>#N/A</v>
      </c>
      <c r="O530" s="29" t="e">
        <v>#N/A</v>
      </c>
      <c r="P530" s="51" t="e">
        <f t="shared" si="40"/>
        <v>#N/A</v>
      </c>
      <c r="Q530" s="29">
        <f>9.7</f>
        <v>9.6999999999999993</v>
      </c>
      <c r="R530" s="43">
        <v>9.1999999999999993</v>
      </c>
      <c r="S530" s="32">
        <f t="shared" si="43"/>
        <v>9.5238095238095108E-2</v>
      </c>
      <c r="T530" s="54" t="e">
        <f>VLOOKUP(A530,[1]인포맥스!$A:$I,9,0)</f>
        <v>#N/A</v>
      </c>
      <c r="U530" s="70" t="e">
        <f t="shared" si="44"/>
        <v>#N/A</v>
      </c>
    </row>
    <row r="531" spans="1:21" x14ac:dyDescent="0.25">
      <c r="A531" s="3">
        <v>28276</v>
      </c>
      <c r="B531" s="29" t="e">
        <f>NA()</f>
        <v>#N/A</v>
      </c>
      <c r="C531" s="29" t="e">
        <v>#N/A</v>
      </c>
      <c r="D531" s="50">
        <f>59.7</f>
        <v>59.7</v>
      </c>
      <c r="E531" s="30">
        <v>59.7</v>
      </c>
      <c r="F531" s="29">
        <f>18.4</f>
        <v>18.399999999999999</v>
      </c>
      <c r="G531" s="31" t="e">
        <v>#N/A</v>
      </c>
      <c r="H531" s="51" t="e">
        <f t="shared" si="41"/>
        <v>#N/A</v>
      </c>
      <c r="I531" s="29">
        <f>8.7</f>
        <v>8.6999999999999993</v>
      </c>
      <c r="J531" s="31">
        <v>21.75</v>
      </c>
      <c r="K531" s="51">
        <f t="shared" si="42"/>
        <v>8.6956521739130349E-2</v>
      </c>
      <c r="L531" s="29">
        <f>10.1</f>
        <v>10.1</v>
      </c>
      <c r="M531" s="30">
        <v>10.1</v>
      </c>
      <c r="N531" s="29" t="e">
        <f>NA()</f>
        <v>#N/A</v>
      </c>
      <c r="O531" s="29" t="e">
        <v>#N/A</v>
      </c>
      <c r="P531" s="51" t="e">
        <f t="shared" si="40"/>
        <v>#N/A</v>
      </c>
      <c r="Q531" s="29">
        <f>8.5</f>
        <v>8.5</v>
      </c>
      <c r="R531" s="43">
        <v>9</v>
      </c>
      <c r="S531" s="32">
        <f t="shared" si="43"/>
        <v>7.1428571428571383E-2</v>
      </c>
      <c r="T531" s="54" t="e">
        <f>VLOOKUP(A531,[1]인포맥스!$A:$I,9,0)</f>
        <v>#N/A</v>
      </c>
      <c r="U531" s="70" t="e">
        <f t="shared" si="44"/>
        <v>#N/A</v>
      </c>
    </row>
    <row r="532" spans="1:21" x14ac:dyDescent="0.25">
      <c r="A532" s="3">
        <v>28245</v>
      </c>
      <c r="B532" s="29" t="e">
        <f>NA()</f>
        <v>#N/A</v>
      </c>
      <c r="C532" s="29" t="e">
        <v>#N/A</v>
      </c>
      <c r="D532" s="50">
        <f>56.9</f>
        <v>56.9</v>
      </c>
      <c r="E532" s="30">
        <v>56.9</v>
      </c>
      <c r="F532" s="29">
        <f>32.2</f>
        <v>32.200000000000003</v>
      </c>
      <c r="G532" s="31" t="e">
        <v>#N/A</v>
      </c>
      <c r="H532" s="51" t="e">
        <f t="shared" si="41"/>
        <v>#N/A</v>
      </c>
      <c r="I532" s="29">
        <f>9</f>
        <v>9</v>
      </c>
      <c r="J532" s="31">
        <v>21.63</v>
      </c>
      <c r="K532" s="51">
        <f t="shared" si="42"/>
        <v>9.0221774193548349E-2</v>
      </c>
      <c r="L532" s="29">
        <f>9.6</f>
        <v>9.6</v>
      </c>
      <c r="M532" s="30">
        <v>9.6</v>
      </c>
      <c r="N532" s="29" t="e">
        <f>NA()</f>
        <v>#N/A</v>
      </c>
      <c r="O532" s="29" t="e">
        <v>#N/A</v>
      </c>
      <c r="P532" s="51" t="e">
        <f t="shared" si="40"/>
        <v>#N/A</v>
      </c>
      <c r="Q532" s="29">
        <f>8.5</f>
        <v>8.5</v>
      </c>
      <c r="R532" s="43">
        <v>9</v>
      </c>
      <c r="S532" s="32">
        <f t="shared" si="43"/>
        <v>8.4337349397590272E-2</v>
      </c>
      <c r="T532" s="54" t="e">
        <f>VLOOKUP(A532,[1]인포맥스!$A:$I,9,0)</f>
        <v>#N/A</v>
      </c>
      <c r="U532" s="70" t="e">
        <f t="shared" si="44"/>
        <v>#N/A</v>
      </c>
    </row>
    <row r="533" spans="1:21" x14ac:dyDescent="0.25">
      <c r="A533" s="3">
        <v>28215</v>
      </c>
      <c r="B533" s="29" t="e">
        <f>NA()</f>
        <v>#N/A</v>
      </c>
      <c r="C533" s="29" t="e">
        <v>#N/A</v>
      </c>
      <c r="D533" s="50">
        <f>58.4</f>
        <v>58.4</v>
      </c>
      <c r="E533" s="30">
        <v>58.4</v>
      </c>
      <c r="F533" s="29">
        <f>39.8</f>
        <v>39.799999999999997</v>
      </c>
      <c r="G533" s="31" t="e">
        <v>#N/A</v>
      </c>
      <c r="H533" s="51" t="e">
        <f t="shared" si="41"/>
        <v>#N/A</v>
      </c>
      <c r="I533" s="29">
        <f>9.2</f>
        <v>9.1999999999999993</v>
      </c>
      <c r="J533" s="31">
        <v>21.54</v>
      </c>
      <c r="K533" s="51">
        <f t="shared" si="42"/>
        <v>9.229208924949292E-2</v>
      </c>
      <c r="L533" s="29">
        <f>10.7</f>
        <v>10.7</v>
      </c>
      <c r="M533" s="30">
        <v>10.7</v>
      </c>
      <c r="N533" s="29" t="e">
        <f>NA()</f>
        <v>#N/A</v>
      </c>
      <c r="O533" s="29" t="e">
        <v>#N/A</v>
      </c>
      <c r="P533" s="51" t="e">
        <f t="shared" si="40"/>
        <v>#N/A</v>
      </c>
      <c r="Q533" s="29">
        <f>8.6</f>
        <v>8.6</v>
      </c>
      <c r="R533" s="43">
        <v>8.9</v>
      </c>
      <c r="S533" s="32">
        <f t="shared" si="43"/>
        <v>8.5365853658536717E-2</v>
      </c>
      <c r="T533" s="54" t="e">
        <f>VLOOKUP(A533,[1]인포맥스!$A:$I,9,0)</f>
        <v>#N/A</v>
      </c>
      <c r="U533" s="70" t="e">
        <f t="shared" si="44"/>
        <v>#N/A</v>
      </c>
    </row>
    <row r="534" spans="1:21" x14ac:dyDescent="0.25">
      <c r="A534" s="3">
        <v>28184</v>
      </c>
      <c r="B534" s="29" t="e">
        <f>NA()</f>
        <v>#N/A</v>
      </c>
      <c r="C534" s="29" t="e">
        <v>#N/A</v>
      </c>
      <c r="D534" s="50">
        <f>55</f>
        <v>55</v>
      </c>
      <c r="E534" s="30">
        <v>55</v>
      </c>
      <c r="F534" s="29">
        <f>44.3</f>
        <v>44.3</v>
      </c>
      <c r="G534" s="31" t="e">
        <v>#N/A</v>
      </c>
      <c r="H534" s="51" t="e">
        <f t="shared" si="41"/>
        <v>#N/A</v>
      </c>
      <c r="I534" s="29">
        <f>9.3</f>
        <v>9.3000000000000007</v>
      </c>
      <c r="J534" s="31">
        <v>21.43</v>
      </c>
      <c r="K534" s="51">
        <f t="shared" si="42"/>
        <v>9.2809790922998486E-2</v>
      </c>
      <c r="L534" s="29">
        <f>11.1</f>
        <v>11.1</v>
      </c>
      <c r="M534" s="30">
        <v>11.1</v>
      </c>
      <c r="N534" s="29" t="e">
        <f>NA()</f>
        <v>#N/A</v>
      </c>
      <c r="O534" s="29" t="e">
        <v>#N/A</v>
      </c>
      <c r="P534" s="51" t="e">
        <f t="shared" si="40"/>
        <v>#N/A</v>
      </c>
      <c r="Q534" s="29">
        <f>9.5</f>
        <v>9.5</v>
      </c>
      <c r="R534" s="43">
        <v>8.9</v>
      </c>
      <c r="S534" s="32">
        <f t="shared" si="43"/>
        <v>9.8765432098765524E-2</v>
      </c>
      <c r="T534" s="54" t="e">
        <f>VLOOKUP(A534,[1]인포맥스!$A:$I,9,0)</f>
        <v>#N/A</v>
      </c>
      <c r="U534" s="70" t="e">
        <f t="shared" si="44"/>
        <v>#N/A</v>
      </c>
    </row>
    <row r="535" spans="1:21" x14ac:dyDescent="0.25">
      <c r="A535" s="3">
        <v>28156</v>
      </c>
      <c r="B535" s="29" t="e">
        <f>NA()</f>
        <v>#N/A</v>
      </c>
      <c r="C535" s="29" t="e">
        <v>#N/A</v>
      </c>
      <c r="D535" s="50">
        <f>54.8</f>
        <v>54.8</v>
      </c>
      <c r="E535" s="30">
        <v>54.8</v>
      </c>
      <c r="F535" s="29">
        <f>50.1</f>
        <v>50.1</v>
      </c>
      <c r="G535" s="31" t="e">
        <v>#N/A</v>
      </c>
      <c r="H535" s="51" t="e">
        <f t="shared" si="41"/>
        <v>#N/A</v>
      </c>
      <c r="I535" s="29">
        <f>7.5</f>
        <v>7.5</v>
      </c>
      <c r="J535" s="31">
        <v>20.98</v>
      </c>
      <c r="K535" s="51">
        <f t="shared" si="42"/>
        <v>7.5345976422347444E-2</v>
      </c>
      <c r="L535" s="29">
        <f>9.7</f>
        <v>9.6999999999999993</v>
      </c>
      <c r="M535" s="30">
        <v>9.6999999999999993</v>
      </c>
      <c r="N535" s="29" t="e">
        <f>NA()</f>
        <v>#N/A</v>
      </c>
      <c r="O535" s="29" t="e">
        <v>#N/A</v>
      </c>
      <c r="P535" s="51" t="e">
        <f t="shared" si="40"/>
        <v>#N/A</v>
      </c>
      <c r="Q535" s="29">
        <f>10.1</f>
        <v>10.1</v>
      </c>
      <c r="R535" s="43">
        <v>8.8000000000000007</v>
      </c>
      <c r="S535" s="32">
        <f t="shared" si="43"/>
        <v>0.10000000000000009</v>
      </c>
      <c r="T535" s="54" t="e">
        <f>VLOOKUP(A535,[1]인포맥스!$A:$I,9,0)</f>
        <v>#N/A</v>
      </c>
      <c r="U535" s="70" t="e">
        <f t="shared" si="44"/>
        <v>#N/A</v>
      </c>
    </row>
    <row r="536" spans="1:21" x14ac:dyDescent="0.25">
      <c r="A536" s="3">
        <v>28125</v>
      </c>
      <c r="B536" s="29" t="e">
        <f>NA()</f>
        <v>#N/A</v>
      </c>
      <c r="C536" s="29" t="e">
        <v>#N/A</v>
      </c>
      <c r="D536" s="50">
        <f>56.6</f>
        <v>56.6</v>
      </c>
      <c r="E536" s="30">
        <v>56.6</v>
      </c>
      <c r="F536" s="29">
        <f>28.2</f>
        <v>28.2</v>
      </c>
      <c r="G536" s="31" t="e">
        <v>#N/A</v>
      </c>
      <c r="H536" s="51" t="e">
        <f t="shared" si="41"/>
        <v>#N/A</v>
      </c>
      <c r="I536" s="29">
        <f>9.4</f>
        <v>9.4</v>
      </c>
      <c r="J536" s="31">
        <v>20.74</v>
      </c>
      <c r="K536" s="51">
        <f t="shared" si="42"/>
        <v>9.3881856540084255E-2</v>
      </c>
      <c r="L536" s="29">
        <f>9.6</f>
        <v>9.6</v>
      </c>
      <c r="M536" s="30">
        <v>9.6</v>
      </c>
      <c r="N536" s="29" t="e">
        <f>NA()</f>
        <v>#N/A</v>
      </c>
      <c r="O536" s="29" t="e">
        <v>#N/A</v>
      </c>
      <c r="P536" s="51" t="e">
        <f t="shared" si="40"/>
        <v>#N/A</v>
      </c>
      <c r="Q536" s="29">
        <f>10.5</f>
        <v>10.5</v>
      </c>
      <c r="R536" s="43">
        <v>8.8000000000000007</v>
      </c>
      <c r="S536" s="32">
        <f t="shared" si="43"/>
        <v>0.12820512820512833</v>
      </c>
      <c r="T536" s="54" t="e">
        <f>VLOOKUP(A536,[1]인포맥스!$A:$I,9,0)</f>
        <v>#N/A</v>
      </c>
      <c r="U536" s="70" t="e">
        <f t="shared" si="44"/>
        <v>#N/A</v>
      </c>
    </row>
    <row r="537" spans="1:21" x14ac:dyDescent="0.25">
      <c r="A537" s="3">
        <v>28094</v>
      </c>
      <c r="B537" s="29" t="e">
        <f>NA()</f>
        <v>#N/A</v>
      </c>
      <c r="C537" s="29" t="e">
        <v>#N/A</v>
      </c>
      <c r="D537" s="50">
        <f>51.7</f>
        <v>51.7</v>
      </c>
      <c r="E537" s="30">
        <v>51.7</v>
      </c>
      <c r="F537" s="29">
        <f>49.4</f>
        <v>49.4</v>
      </c>
      <c r="G537" s="31" t="e">
        <v>#N/A</v>
      </c>
      <c r="H537" s="51" t="e">
        <f t="shared" si="41"/>
        <v>#N/A</v>
      </c>
      <c r="I537" s="29">
        <f>11</f>
        <v>11</v>
      </c>
      <c r="J537" s="31">
        <v>20.72</v>
      </c>
      <c r="K537" s="51">
        <f t="shared" si="42"/>
        <v>0.10980182110337423</v>
      </c>
      <c r="L537" s="29">
        <f>9.5</f>
        <v>9.5</v>
      </c>
      <c r="M537" s="30">
        <v>9.5</v>
      </c>
      <c r="N537" s="29" t="e">
        <f>NA()</f>
        <v>#N/A</v>
      </c>
      <c r="O537" s="29" t="e">
        <v>#N/A</v>
      </c>
      <c r="P537" s="51" t="e">
        <f t="shared" si="40"/>
        <v>#N/A</v>
      </c>
      <c r="Q537" s="29">
        <f>10.6</f>
        <v>10.6</v>
      </c>
      <c r="R537" s="43">
        <v>8.6999999999999993</v>
      </c>
      <c r="S537" s="32">
        <f t="shared" si="43"/>
        <v>0.11538461538461532</v>
      </c>
      <c r="T537" s="54" t="e">
        <f>VLOOKUP(A537,[1]인포맥스!$A:$I,9,0)</f>
        <v>#N/A</v>
      </c>
      <c r="U537" s="70" t="e">
        <f t="shared" si="44"/>
        <v>#N/A</v>
      </c>
    </row>
    <row r="538" spans="1:21" x14ac:dyDescent="0.25">
      <c r="A538" s="3">
        <v>28064</v>
      </c>
      <c r="B538" s="29" t="e">
        <f>NA()</f>
        <v>#N/A</v>
      </c>
      <c r="C538" s="29" t="e">
        <v>#N/A</v>
      </c>
      <c r="D538" s="50">
        <f>53.5</f>
        <v>53.5</v>
      </c>
      <c r="E538" s="30">
        <v>53.5</v>
      </c>
      <c r="F538" s="29">
        <f>46.4</f>
        <v>46.4</v>
      </c>
      <c r="G538" s="31" t="e">
        <v>#N/A</v>
      </c>
      <c r="H538" s="51" t="e">
        <f t="shared" si="41"/>
        <v>#N/A</v>
      </c>
      <c r="I538" s="29">
        <f>10.4</f>
        <v>10.4</v>
      </c>
      <c r="J538" s="31">
        <v>20.53</v>
      </c>
      <c r="K538" s="51">
        <f t="shared" si="42"/>
        <v>0.10376344086021504</v>
      </c>
      <c r="L538" s="29">
        <f>8.7</f>
        <v>8.6999999999999993</v>
      </c>
      <c r="M538" s="30">
        <v>8.6999999999999993</v>
      </c>
      <c r="N538" s="29" t="e">
        <f>NA()</f>
        <v>#N/A</v>
      </c>
      <c r="O538" s="29" t="e">
        <v>#N/A</v>
      </c>
      <c r="P538" s="51" t="e">
        <f t="shared" si="40"/>
        <v>#N/A</v>
      </c>
      <c r="Q538" s="29">
        <f>11.4</f>
        <v>11.4</v>
      </c>
      <c r="R538" s="43">
        <v>8.6</v>
      </c>
      <c r="S538" s="32">
        <f t="shared" si="43"/>
        <v>0.11688311688311681</v>
      </c>
      <c r="T538" s="54" t="e">
        <f>VLOOKUP(A538,[1]인포맥스!$A:$I,9,0)</f>
        <v>#N/A</v>
      </c>
      <c r="U538" s="70" t="e">
        <f t="shared" si="44"/>
        <v>#N/A</v>
      </c>
    </row>
    <row r="539" spans="1:21" x14ac:dyDescent="0.25">
      <c r="A539" s="3">
        <v>28033</v>
      </c>
      <c r="B539" s="29" t="e">
        <f>NA()</f>
        <v>#N/A</v>
      </c>
      <c r="C539" s="29" t="e">
        <v>#N/A</v>
      </c>
      <c r="D539" s="50">
        <f>53.6</f>
        <v>53.6</v>
      </c>
      <c r="E539" s="30">
        <v>53.6</v>
      </c>
      <c r="F539" s="29">
        <f>49.3</f>
        <v>49.3</v>
      </c>
      <c r="G539" s="31" t="e">
        <v>#N/A</v>
      </c>
      <c r="H539" s="51" t="e">
        <f t="shared" si="41"/>
        <v>#N/A</v>
      </c>
      <c r="I539" s="29">
        <f>11.3</f>
        <v>11.3</v>
      </c>
      <c r="J539" s="31">
        <v>20.46</v>
      </c>
      <c r="K539" s="51">
        <f t="shared" si="42"/>
        <v>0.1131664853101198</v>
      </c>
      <c r="L539" s="29">
        <f>11.5</f>
        <v>11.5</v>
      </c>
      <c r="M539" s="30">
        <v>11.5</v>
      </c>
      <c r="N539" s="29" t="e">
        <f>NA()</f>
        <v>#N/A</v>
      </c>
      <c r="O539" s="29" t="e">
        <v>#N/A</v>
      </c>
      <c r="P539" s="51" t="e">
        <f t="shared" si="40"/>
        <v>#N/A</v>
      </c>
      <c r="Q539" s="29">
        <f>12.3</f>
        <v>12.3</v>
      </c>
      <c r="R539" s="43">
        <v>8.6</v>
      </c>
      <c r="S539" s="32">
        <f t="shared" si="43"/>
        <v>0.14666666666666661</v>
      </c>
      <c r="T539" s="54" t="e">
        <f>VLOOKUP(A539,[1]인포맥스!$A:$I,9,0)</f>
        <v>#N/A</v>
      </c>
      <c r="U539" s="70" t="e">
        <f t="shared" si="44"/>
        <v>#N/A</v>
      </c>
    </row>
    <row r="540" spans="1:21" x14ac:dyDescent="0.25">
      <c r="A540" s="3">
        <v>28003</v>
      </c>
      <c r="B540" s="29" t="e">
        <f>NA()</f>
        <v>#N/A</v>
      </c>
      <c r="C540" s="29" t="e">
        <v>#N/A</v>
      </c>
      <c r="D540" s="50">
        <f>54.5</f>
        <v>54.5</v>
      </c>
      <c r="E540" s="30">
        <v>54.5</v>
      </c>
      <c r="F540" s="29">
        <f>53.5</f>
        <v>53.5</v>
      </c>
      <c r="G540" s="31" t="e">
        <v>#N/A</v>
      </c>
      <c r="H540" s="51" t="e">
        <f t="shared" si="41"/>
        <v>#N/A</v>
      </c>
      <c r="I540" s="29">
        <f>11.2</f>
        <v>11.2</v>
      </c>
      <c r="J540" s="31">
        <v>20.329999999999998</v>
      </c>
      <c r="K540" s="51">
        <f t="shared" si="42"/>
        <v>0.11214442013129086</v>
      </c>
      <c r="L540" s="29">
        <f>14.5</f>
        <v>14.5</v>
      </c>
      <c r="M540" s="30">
        <v>14.5</v>
      </c>
      <c r="N540" s="29" t="e">
        <f>NA()</f>
        <v>#N/A</v>
      </c>
      <c r="O540" s="29" t="e">
        <v>#N/A</v>
      </c>
      <c r="P540" s="51" t="e">
        <f t="shared" si="40"/>
        <v>#N/A</v>
      </c>
      <c r="Q540" s="29">
        <f>13.6</f>
        <v>13.6</v>
      </c>
      <c r="R540" s="43">
        <v>8.5</v>
      </c>
      <c r="S540" s="32">
        <f t="shared" si="43"/>
        <v>0.13333333333333333</v>
      </c>
      <c r="T540" s="54" t="e">
        <f>VLOOKUP(A540,[1]인포맥스!$A:$I,9,0)</f>
        <v>#N/A</v>
      </c>
      <c r="U540" s="70" t="e">
        <f t="shared" si="44"/>
        <v>#N/A</v>
      </c>
    </row>
    <row r="541" spans="1:21" x14ac:dyDescent="0.25">
      <c r="A541" s="3">
        <v>27972</v>
      </c>
      <c r="B541" s="29" t="e">
        <f>NA()</f>
        <v>#N/A</v>
      </c>
      <c r="C541" s="29" t="e">
        <v>#N/A</v>
      </c>
      <c r="D541" s="50">
        <f>55.9</f>
        <v>55.9</v>
      </c>
      <c r="E541" s="30">
        <v>55.9</v>
      </c>
      <c r="F541" s="29">
        <f>73.2</f>
        <v>73.2</v>
      </c>
      <c r="G541" s="31" t="e">
        <v>#N/A</v>
      </c>
      <c r="H541" s="51" t="e">
        <f t="shared" si="41"/>
        <v>#N/A</v>
      </c>
      <c r="I541" s="29">
        <f>11.1</f>
        <v>11.1</v>
      </c>
      <c r="J541" s="31">
        <v>20.239999999999998</v>
      </c>
      <c r="K541" s="51">
        <f t="shared" si="42"/>
        <v>0.11147721032399767</v>
      </c>
      <c r="L541" s="29">
        <f>15.8</f>
        <v>15.8</v>
      </c>
      <c r="M541" s="30">
        <v>15.8</v>
      </c>
      <c r="N541" s="29" t="e">
        <f>NA()</f>
        <v>#N/A</v>
      </c>
      <c r="O541" s="29" t="e">
        <v>#N/A</v>
      </c>
      <c r="P541" s="51" t="e">
        <f t="shared" si="40"/>
        <v>#N/A</v>
      </c>
      <c r="Q541" s="29">
        <f>14.2</f>
        <v>14.2</v>
      </c>
      <c r="R541" s="43">
        <v>8.5</v>
      </c>
      <c r="S541" s="32">
        <f t="shared" si="43"/>
        <v>0.1486486486486486</v>
      </c>
      <c r="T541" s="54" t="e">
        <f>VLOOKUP(A541,[1]인포맥스!$A:$I,9,0)</f>
        <v>#N/A</v>
      </c>
      <c r="U541" s="70" t="e">
        <f t="shared" si="44"/>
        <v>#N/A</v>
      </c>
    </row>
    <row r="542" spans="1:21" x14ac:dyDescent="0.25">
      <c r="A542" s="3">
        <v>27941</v>
      </c>
      <c r="B542" s="29" t="e">
        <f>NA()</f>
        <v>#N/A</v>
      </c>
      <c r="C542" s="29" t="e">
        <v>#N/A</v>
      </c>
      <c r="D542" s="50">
        <f>58.2</f>
        <v>58.2</v>
      </c>
      <c r="E542" s="30">
        <v>58.2</v>
      </c>
      <c r="F542" s="29">
        <f>74.8</f>
        <v>74.8</v>
      </c>
      <c r="G542" s="31" t="e">
        <v>#N/A</v>
      </c>
      <c r="H542" s="51" t="e">
        <f t="shared" si="41"/>
        <v>#N/A</v>
      </c>
      <c r="I542" s="29">
        <f>10.9</f>
        <v>10.9</v>
      </c>
      <c r="J542" s="31">
        <v>20.12</v>
      </c>
      <c r="K542" s="51">
        <f t="shared" si="42"/>
        <v>0.10915104740904082</v>
      </c>
      <c r="L542" s="29">
        <f>15.7</f>
        <v>15.7</v>
      </c>
      <c r="M542" s="30">
        <v>15.7</v>
      </c>
      <c r="N542" s="29" t="e">
        <f>NA()</f>
        <v>#N/A</v>
      </c>
      <c r="O542" s="29" t="e">
        <v>#N/A</v>
      </c>
      <c r="P542" s="51" t="e">
        <f t="shared" si="40"/>
        <v>#N/A</v>
      </c>
      <c r="Q542" s="29">
        <f>15.1</f>
        <v>15.1</v>
      </c>
      <c r="R542" s="43">
        <v>8.4</v>
      </c>
      <c r="S542" s="32">
        <f t="shared" si="43"/>
        <v>0.15068493150684939</v>
      </c>
      <c r="T542" s="54" t="e">
        <f>VLOOKUP(A542,[1]인포맥스!$A:$I,9,0)</f>
        <v>#N/A</v>
      </c>
      <c r="U542" s="70" t="e">
        <f t="shared" si="44"/>
        <v>#N/A</v>
      </c>
    </row>
    <row r="543" spans="1:21" x14ac:dyDescent="0.25">
      <c r="A543" s="3">
        <v>27911</v>
      </c>
      <c r="B543" s="29" t="e">
        <f>NA()</f>
        <v>#N/A</v>
      </c>
      <c r="C543" s="29" t="e">
        <v>#N/A</v>
      </c>
      <c r="D543" s="50">
        <f>58.8</f>
        <v>58.8</v>
      </c>
      <c r="E543" s="30">
        <v>58.8</v>
      </c>
      <c r="F543" s="29">
        <f>61.2</f>
        <v>61.2</v>
      </c>
      <c r="G543" s="31" t="e">
        <v>#N/A</v>
      </c>
      <c r="H543" s="51" t="e">
        <f t="shared" si="41"/>
        <v>#N/A</v>
      </c>
      <c r="I543" s="29">
        <f>11.4</f>
        <v>11.4</v>
      </c>
      <c r="J543" s="31">
        <v>20.010000000000002</v>
      </c>
      <c r="K543" s="51">
        <f t="shared" si="42"/>
        <v>0.11414253897550115</v>
      </c>
      <c r="L543" s="29">
        <f>16.1</f>
        <v>16.100000000000001</v>
      </c>
      <c r="M543" s="30">
        <v>16.100000000000001</v>
      </c>
      <c r="N543" s="29" t="e">
        <f>NA()</f>
        <v>#N/A</v>
      </c>
      <c r="O543" s="29" t="e">
        <v>#N/A</v>
      </c>
      <c r="P543" s="51" t="e">
        <f t="shared" si="40"/>
        <v>#N/A</v>
      </c>
      <c r="Q543" s="29">
        <f>16.2</f>
        <v>16.2</v>
      </c>
      <c r="R543" s="43">
        <v>8.4</v>
      </c>
      <c r="S543" s="32">
        <f t="shared" si="43"/>
        <v>0.16666666666666669</v>
      </c>
      <c r="T543" s="54" t="e">
        <f>VLOOKUP(A543,[1]인포맥스!$A:$I,9,0)</f>
        <v>#N/A</v>
      </c>
      <c r="U543" s="70" t="e">
        <f t="shared" si="44"/>
        <v>#N/A</v>
      </c>
    </row>
    <row r="544" spans="1:21" x14ac:dyDescent="0.25">
      <c r="A544" s="3">
        <v>27880</v>
      </c>
      <c r="B544" s="29" t="e">
        <f>NA()</f>
        <v>#N/A</v>
      </c>
      <c r="C544" s="29" t="e">
        <v>#N/A</v>
      </c>
      <c r="D544" s="50">
        <f>60.6</f>
        <v>60.6</v>
      </c>
      <c r="E544" s="30">
        <v>60.6</v>
      </c>
      <c r="F544" s="29">
        <f>81.1</f>
        <v>81.099999999999994</v>
      </c>
      <c r="G544" s="31" t="e">
        <v>#N/A</v>
      </c>
      <c r="H544" s="51" t="e">
        <f t="shared" si="41"/>
        <v>#N/A</v>
      </c>
      <c r="I544" s="29">
        <f>13</f>
        <v>13</v>
      </c>
      <c r="J544" s="31">
        <v>19.84</v>
      </c>
      <c r="K544" s="51">
        <f t="shared" si="42"/>
        <v>0.12984054669703879</v>
      </c>
      <c r="L544" s="29">
        <f>19.5</f>
        <v>19.5</v>
      </c>
      <c r="M544" s="30">
        <v>19.5</v>
      </c>
      <c r="N544" s="29" t="e">
        <f>NA()</f>
        <v>#N/A</v>
      </c>
      <c r="O544" s="29" t="e">
        <v>#N/A</v>
      </c>
      <c r="P544" s="51" t="e">
        <f t="shared" si="40"/>
        <v>#N/A</v>
      </c>
      <c r="Q544" s="29">
        <f>16.8</f>
        <v>16.8</v>
      </c>
      <c r="R544" s="43">
        <v>8.3000000000000007</v>
      </c>
      <c r="S544" s="32">
        <f t="shared" si="43"/>
        <v>0.1857142857142858</v>
      </c>
      <c r="T544" s="54" t="e">
        <f>VLOOKUP(A544,[1]인포맥스!$A:$I,9,0)</f>
        <v>#N/A</v>
      </c>
      <c r="U544" s="70" t="e">
        <f t="shared" si="44"/>
        <v>#N/A</v>
      </c>
    </row>
    <row r="545" spans="1:21" x14ac:dyDescent="0.25">
      <c r="A545" s="3">
        <v>27850</v>
      </c>
      <c r="B545" s="29" t="e">
        <f>NA()</f>
        <v>#N/A</v>
      </c>
      <c r="C545" s="29" t="e">
        <v>#N/A</v>
      </c>
      <c r="D545" s="50">
        <f>58.4</f>
        <v>58.4</v>
      </c>
      <c r="E545" s="30">
        <v>58.4</v>
      </c>
      <c r="F545" s="29">
        <f>66.3</f>
        <v>66.3</v>
      </c>
      <c r="G545" s="31" t="e">
        <v>#N/A</v>
      </c>
      <c r="H545" s="51" t="e">
        <f t="shared" si="41"/>
        <v>#N/A</v>
      </c>
      <c r="I545" s="29">
        <f>15.3</f>
        <v>15.3</v>
      </c>
      <c r="J545" s="31">
        <v>19.72</v>
      </c>
      <c r="K545" s="51">
        <f t="shared" si="42"/>
        <v>0.1532163742690057</v>
      </c>
      <c r="L545" s="29">
        <f>22</f>
        <v>22</v>
      </c>
      <c r="M545" s="30">
        <v>22</v>
      </c>
      <c r="N545" s="29" t="e">
        <f>NA()</f>
        <v>#N/A</v>
      </c>
      <c r="O545" s="29" t="e">
        <v>#N/A</v>
      </c>
      <c r="P545" s="51" t="e">
        <f t="shared" si="40"/>
        <v>#N/A</v>
      </c>
      <c r="Q545" s="29">
        <f>16.7</f>
        <v>16.7</v>
      </c>
      <c r="R545" s="43">
        <v>8.1999999999999993</v>
      </c>
      <c r="S545" s="32">
        <f t="shared" si="43"/>
        <v>0.18840579710144911</v>
      </c>
      <c r="T545" s="54" t="e">
        <f>VLOOKUP(A545,[1]인포맥스!$A:$I,9,0)</f>
        <v>#N/A</v>
      </c>
      <c r="U545" s="70" t="e">
        <f t="shared" si="44"/>
        <v>#N/A</v>
      </c>
    </row>
    <row r="546" spans="1:21" x14ac:dyDescent="0.25">
      <c r="A546" s="3">
        <v>27819</v>
      </c>
      <c r="B546" s="29" t="e">
        <f>NA()</f>
        <v>#N/A</v>
      </c>
      <c r="C546" s="29" t="e">
        <v>#N/A</v>
      </c>
      <c r="D546" s="50">
        <f>61.5</f>
        <v>61.5</v>
      </c>
      <c r="E546" s="30">
        <v>61.5</v>
      </c>
      <c r="F546" s="29">
        <f>50.8</f>
        <v>50.8</v>
      </c>
      <c r="G546" s="31" t="e">
        <v>#N/A</v>
      </c>
      <c r="H546" s="51" t="e">
        <f t="shared" si="41"/>
        <v>#N/A</v>
      </c>
      <c r="I546" s="29">
        <f>15.2</f>
        <v>15.2</v>
      </c>
      <c r="J546" s="31">
        <v>19.61</v>
      </c>
      <c r="K546" s="51">
        <f t="shared" si="42"/>
        <v>0.15217391304347824</v>
      </c>
      <c r="L546" s="29">
        <f>22.2</f>
        <v>22.2</v>
      </c>
      <c r="M546" s="30">
        <v>22.2</v>
      </c>
      <c r="N546" s="29" t="e">
        <f>NA()</f>
        <v>#N/A</v>
      </c>
      <c r="O546" s="29" t="e">
        <v>#N/A</v>
      </c>
      <c r="P546" s="51" t="e">
        <f t="shared" si="40"/>
        <v>#N/A</v>
      </c>
      <c r="Q546" s="29">
        <f>16.3</f>
        <v>16.3</v>
      </c>
      <c r="R546" s="43">
        <v>8.1</v>
      </c>
      <c r="S546" s="32">
        <f t="shared" si="43"/>
        <v>0.19117647058823528</v>
      </c>
      <c r="T546" s="54" t="e">
        <f>VLOOKUP(A546,[1]인포맥스!$A:$I,9,0)</f>
        <v>#N/A</v>
      </c>
      <c r="U546" s="70" t="e">
        <f t="shared" si="44"/>
        <v>#N/A</v>
      </c>
    </row>
    <row r="547" spans="1:21" x14ac:dyDescent="0.25">
      <c r="A547" s="3">
        <v>27790</v>
      </c>
      <c r="B547" s="29" t="e">
        <f>NA()</f>
        <v>#N/A</v>
      </c>
      <c r="C547" s="29" t="e">
        <v>#N/A</v>
      </c>
      <c r="D547" s="50">
        <f>58.8</f>
        <v>58.8</v>
      </c>
      <c r="E547" s="30">
        <v>58.8</v>
      </c>
      <c r="F547" s="29">
        <f>65.1</f>
        <v>65.099999999999994</v>
      </c>
      <c r="G547" s="31" t="e">
        <v>#N/A</v>
      </c>
      <c r="H547" s="51" t="e">
        <f t="shared" si="41"/>
        <v>#N/A</v>
      </c>
      <c r="I547" s="29">
        <f>16.1</f>
        <v>16.100000000000001</v>
      </c>
      <c r="J547" s="31">
        <v>19.510000000000002</v>
      </c>
      <c r="K547" s="51">
        <f t="shared" si="42"/>
        <v>0.16061867935752547</v>
      </c>
      <c r="L547" s="29">
        <f>23</f>
        <v>23</v>
      </c>
      <c r="M547" s="30">
        <v>23</v>
      </c>
      <c r="N547" s="29" t="e">
        <f>NA()</f>
        <v>#N/A</v>
      </c>
      <c r="O547" s="29" t="e">
        <v>#N/A</v>
      </c>
      <c r="P547" s="51" t="e">
        <f t="shared" si="40"/>
        <v>#N/A</v>
      </c>
      <c r="Q547" s="29">
        <f>16.1</f>
        <v>16.100000000000001</v>
      </c>
      <c r="R547" s="43">
        <v>8</v>
      </c>
      <c r="S547" s="32">
        <f t="shared" si="43"/>
        <v>0.19402985074626863</v>
      </c>
      <c r="T547" s="54" t="e">
        <f>VLOOKUP(A547,[1]인포맥스!$A:$I,9,0)</f>
        <v>#N/A</v>
      </c>
      <c r="U547" s="70" t="e">
        <f t="shared" si="44"/>
        <v>#N/A</v>
      </c>
    </row>
    <row r="548" spans="1:21" x14ac:dyDescent="0.25">
      <c r="A548" s="3">
        <v>27759</v>
      </c>
      <c r="B548" s="29" t="e">
        <f>NA()</f>
        <v>#N/A</v>
      </c>
      <c r="C548" s="29" t="e">
        <v>#N/A</v>
      </c>
      <c r="D548" s="50">
        <f>54.9</f>
        <v>54.9</v>
      </c>
      <c r="E548" s="30">
        <v>54.9</v>
      </c>
      <c r="F548" s="29">
        <f>72</f>
        <v>72</v>
      </c>
      <c r="G548" s="31" t="e">
        <v>#N/A</v>
      </c>
      <c r="H548" s="51" t="e">
        <f t="shared" si="41"/>
        <v>#N/A</v>
      </c>
      <c r="I548" s="29">
        <f>19.5</f>
        <v>19.5</v>
      </c>
      <c r="J548" s="31">
        <v>18.96</v>
      </c>
      <c r="K548" s="51">
        <f t="shared" si="42"/>
        <v>0.19546027742749064</v>
      </c>
      <c r="L548" s="29">
        <f>26.5</f>
        <v>26.5</v>
      </c>
      <c r="M548" s="30">
        <v>26.5</v>
      </c>
      <c r="N548" s="29" t="e">
        <f>NA()</f>
        <v>#N/A</v>
      </c>
      <c r="O548" s="29" t="e">
        <v>#N/A</v>
      </c>
      <c r="P548" s="51" t="e">
        <f t="shared" si="40"/>
        <v>#N/A</v>
      </c>
      <c r="Q548" s="29">
        <f>15.8</f>
        <v>15.8</v>
      </c>
      <c r="R548" s="43">
        <v>7.8</v>
      </c>
      <c r="S548" s="32">
        <f t="shared" si="43"/>
        <v>0.16417910447761189</v>
      </c>
      <c r="T548" s="54" t="e">
        <f>VLOOKUP(A548,[1]인포맥스!$A:$I,9,0)</f>
        <v>#N/A</v>
      </c>
      <c r="U548" s="70" t="e">
        <f t="shared" si="44"/>
        <v>#N/A</v>
      </c>
    </row>
    <row r="549" spans="1:21" x14ac:dyDescent="0.25">
      <c r="A549" s="3">
        <v>27728</v>
      </c>
      <c r="B549" s="29" t="e">
        <f>NA()</f>
        <v>#N/A</v>
      </c>
      <c r="C549" s="29" t="e">
        <v>#N/A</v>
      </c>
      <c r="D549" s="50">
        <f>54.5</f>
        <v>54.5</v>
      </c>
      <c r="E549" s="30">
        <v>54.5</v>
      </c>
      <c r="F549" s="29">
        <f>34.9</f>
        <v>34.9</v>
      </c>
      <c r="G549" s="31" t="e">
        <v>#N/A</v>
      </c>
      <c r="H549" s="51" t="e">
        <f t="shared" si="41"/>
        <v>#N/A</v>
      </c>
      <c r="I549" s="29">
        <f>24.3</f>
        <v>24.3</v>
      </c>
      <c r="J549" s="31">
        <v>18.670000000000002</v>
      </c>
      <c r="K549" s="51">
        <f t="shared" si="42"/>
        <v>0.24300932090545954</v>
      </c>
      <c r="L549" s="29">
        <f>27.8</f>
        <v>27.8</v>
      </c>
      <c r="M549" s="30">
        <v>27.8</v>
      </c>
      <c r="N549" s="29" t="e">
        <f>NA()</f>
        <v>#N/A</v>
      </c>
      <c r="O549" s="29" t="e">
        <v>#N/A</v>
      </c>
      <c r="P549" s="51" t="e">
        <f t="shared" si="40"/>
        <v>#N/A</v>
      </c>
      <c r="Q549" s="29">
        <f>15.6</f>
        <v>15.6</v>
      </c>
      <c r="R549" s="43">
        <v>7.8</v>
      </c>
      <c r="S549" s="32">
        <f t="shared" si="43"/>
        <v>0.18181818181818185</v>
      </c>
      <c r="T549" s="54" t="e">
        <f>VLOOKUP(A549,[1]인포맥스!$A:$I,9,0)</f>
        <v>#N/A</v>
      </c>
      <c r="U549" s="70" t="e">
        <f t="shared" si="44"/>
        <v>#N/A</v>
      </c>
    </row>
    <row r="550" spans="1:21" x14ac:dyDescent="0.25">
      <c r="A550" s="3">
        <v>27698</v>
      </c>
      <c r="B550" s="29" t="e">
        <f>NA()</f>
        <v>#N/A</v>
      </c>
      <c r="C550" s="29" t="e">
        <v>#N/A</v>
      </c>
      <c r="D550" s="50">
        <f>55.5</f>
        <v>55.5</v>
      </c>
      <c r="E550" s="30">
        <v>55.5</v>
      </c>
      <c r="F550" s="29">
        <f>47.5</f>
        <v>47.5</v>
      </c>
      <c r="G550" s="31" t="e">
        <v>#N/A</v>
      </c>
      <c r="H550" s="51" t="e">
        <f t="shared" si="41"/>
        <v>#N/A</v>
      </c>
      <c r="I550" s="29">
        <f>26.6</f>
        <v>26.6</v>
      </c>
      <c r="J550" s="31">
        <v>18.600000000000001</v>
      </c>
      <c r="K550" s="51">
        <f t="shared" si="42"/>
        <v>0.26616746085772647</v>
      </c>
      <c r="L550" s="29">
        <f>30.5</f>
        <v>30.5</v>
      </c>
      <c r="M550" s="30">
        <v>30.5</v>
      </c>
      <c r="N550" s="29" t="e">
        <f>NA()</f>
        <v>#N/A</v>
      </c>
      <c r="O550" s="29" t="e">
        <v>#N/A</v>
      </c>
      <c r="P550" s="51" t="e">
        <f t="shared" si="40"/>
        <v>#N/A</v>
      </c>
      <c r="Q550" s="29">
        <f>15.3</f>
        <v>15.3</v>
      </c>
      <c r="R550" s="43">
        <v>7.7</v>
      </c>
      <c r="S550" s="32">
        <f t="shared" si="43"/>
        <v>0.18461538461538465</v>
      </c>
      <c r="T550" s="54" t="e">
        <f>VLOOKUP(A550,[1]인포맥스!$A:$I,9,0)</f>
        <v>#N/A</v>
      </c>
      <c r="U550" s="70" t="e">
        <f t="shared" si="44"/>
        <v>#N/A</v>
      </c>
    </row>
    <row r="551" spans="1:21" x14ac:dyDescent="0.25">
      <c r="A551" s="3">
        <v>27667</v>
      </c>
      <c r="B551" s="29" t="e">
        <f>NA()</f>
        <v>#N/A</v>
      </c>
      <c r="C551" s="29" t="e">
        <v>#N/A</v>
      </c>
      <c r="D551" s="50">
        <f>54.4</f>
        <v>54.4</v>
      </c>
      <c r="E551" s="30">
        <v>54.4</v>
      </c>
      <c r="F551" s="29">
        <f>10.8</f>
        <v>10.8</v>
      </c>
      <c r="G551" s="31" t="e">
        <v>#N/A</v>
      </c>
      <c r="H551" s="51" t="e">
        <f t="shared" si="41"/>
        <v>#N/A</v>
      </c>
      <c r="I551" s="29">
        <f>25.5</f>
        <v>25.5</v>
      </c>
      <c r="J551" s="31">
        <v>18.38</v>
      </c>
      <c r="K551" s="51">
        <f t="shared" si="42"/>
        <v>0.25546448087431683</v>
      </c>
      <c r="L551" s="29">
        <f>27.5</f>
        <v>27.5</v>
      </c>
      <c r="M551" s="30">
        <v>27.5</v>
      </c>
      <c r="N551" s="29" t="e">
        <f>NA()</f>
        <v>#N/A</v>
      </c>
      <c r="O551" s="29" t="e">
        <v>#N/A</v>
      </c>
      <c r="P551" s="51" t="e">
        <f t="shared" si="40"/>
        <v>#N/A</v>
      </c>
      <c r="Q551" s="29">
        <f>14</f>
        <v>14</v>
      </c>
      <c r="R551" s="43">
        <v>7.5</v>
      </c>
      <c r="S551" s="32">
        <f t="shared" si="43"/>
        <v>0.15384615384615385</v>
      </c>
      <c r="T551" s="54" t="e">
        <f>VLOOKUP(A551,[1]인포맥스!$A:$I,9,0)</f>
        <v>#N/A</v>
      </c>
      <c r="U551" s="70" t="e">
        <f t="shared" si="44"/>
        <v>#N/A</v>
      </c>
    </row>
    <row r="552" spans="1:21" x14ac:dyDescent="0.25">
      <c r="A552" s="3">
        <v>27637</v>
      </c>
      <c r="B552" s="29" t="e">
        <f>NA()</f>
        <v>#N/A</v>
      </c>
      <c r="C552" s="29" t="e">
        <v>#N/A</v>
      </c>
      <c r="D552" s="50">
        <f>51.4</f>
        <v>51.4</v>
      </c>
      <c r="E552" s="30">
        <v>51.4</v>
      </c>
      <c r="F552" s="29">
        <f>25.1</f>
        <v>25.1</v>
      </c>
      <c r="G552" s="31" t="e">
        <v>#N/A</v>
      </c>
      <c r="H552" s="51" t="e">
        <f t="shared" si="41"/>
        <v>#N/A</v>
      </c>
      <c r="I552" s="29">
        <f>24.4</f>
        <v>24.4</v>
      </c>
      <c r="J552" s="31">
        <v>18.28</v>
      </c>
      <c r="K552" s="51">
        <f t="shared" si="42"/>
        <v>0.24438393464942149</v>
      </c>
      <c r="L552" s="29">
        <f>25.3</f>
        <v>25.3</v>
      </c>
      <c r="M552" s="30">
        <v>25.3</v>
      </c>
      <c r="N552" s="29" t="e">
        <f>NA()</f>
        <v>#N/A</v>
      </c>
      <c r="O552" s="29" t="e">
        <v>#N/A</v>
      </c>
      <c r="P552" s="51" t="e">
        <f t="shared" si="40"/>
        <v>#N/A</v>
      </c>
      <c r="Q552" s="29">
        <f>13.5</f>
        <v>13.5</v>
      </c>
      <c r="R552" s="43">
        <v>7.5</v>
      </c>
      <c r="S552" s="32">
        <f t="shared" si="43"/>
        <v>0.15384615384615385</v>
      </c>
      <c r="T552" s="54" t="e">
        <f>VLOOKUP(A552,[1]인포맥스!$A:$I,9,0)</f>
        <v>#N/A</v>
      </c>
      <c r="U552" s="70" t="e">
        <f t="shared" si="44"/>
        <v>#N/A</v>
      </c>
    </row>
    <row r="553" spans="1:21" x14ac:dyDescent="0.25">
      <c r="A553" s="3">
        <v>27606</v>
      </c>
      <c r="B553" s="29" t="e">
        <f>NA()</f>
        <v>#N/A</v>
      </c>
      <c r="C553" s="29" t="e">
        <v>#N/A</v>
      </c>
      <c r="D553" s="50">
        <f>47.2</f>
        <v>47.2</v>
      </c>
      <c r="E553" s="30">
        <v>47.2</v>
      </c>
      <c r="F553" s="29">
        <f>4.4</f>
        <v>4.4000000000000004</v>
      </c>
      <c r="G553" s="31" t="e">
        <v>#N/A</v>
      </c>
      <c r="H553" s="51" t="e">
        <f t="shared" si="41"/>
        <v>#N/A</v>
      </c>
      <c r="I553" s="29">
        <f>25.1</f>
        <v>25.1</v>
      </c>
      <c r="J553" s="31">
        <v>18.21</v>
      </c>
      <c r="K553" s="51">
        <f t="shared" si="42"/>
        <v>0.25068681318681318</v>
      </c>
      <c r="L553" s="29">
        <f>26.5</f>
        <v>26.5</v>
      </c>
      <c r="M553" s="30">
        <v>26.5</v>
      </c>
      <c r="N553" s="29" t="e">
        <f>NA()</f>
        <v>#N/A</v>
      </c>
      <c r="O553" s="29" t="e">
        <v>#N/A</v>
      </c>
      <c r="P553" s="51" t="e">
        <f t="shared" si="40"/>
        <v>#N/A</v>
      </c>
      <c r="Q553" s="29">
        <f>12.8</f>
        <v>12.8</v>
      </c>
      <c r="R553" s="43">
        <v>7.4</v>
      </c>
      <c r="S553" s="32">
        <f t="shared" si="43"/>
        <v>0.13846153846153852</v>
      </c>
      <c r="T553" s="54" t="e">
        <f>VLOOKUP(A553,[1]인포맥스!$A:$I,9,0)</f>
        <v>#N/A</v>
      </c>
      <c r="U553" s="70" t="e">
        <f t="shared" si="44"/>
        <v>#N/A</v>
      </c>
    </row>
    <row r="554" spans="1:21" x14ac:dyDescent="0.25">
      <c r="A554" s="3">
        <v>27575</v>
      </c>
      <c r="B554" s="29" t="e">
        <f>NA()</f>
        <v>#N/A</v>
      </c>
      <c r="C554" s="29" t="e">
        <v>#N/A</v>
      </c>
      <c r="D554" s="50">
        <f>45.1</f>
        <v>45.1</v>
      </c>
      <c r="E554" s="30">
        <v>45.1</v>
      </c>
      <c r="F554" s="29">
        <f>-4</f>
        <v>-4</v>
      </c>
      <c r="G554" s="31" t="e">
        <v>#N/A</v>
      </c>
      <c r="H554" s="51" t="e">
        <f t="shared" si="41"/>
        <v>#N/A</v>
      </c>
      <c r="I554" s="29">
        <f>26</f>
        <v>26</v>
      </c>
      <c r="J554" s="31">
        <v>18.14</v>
      </c>
      <c r="K554" s="51">
        <f t="shared" si="42"/>
        <v>0.25972222222222224</v>
      </c>
      <c r="L554" s="29">
        <f>26.9</f>
        <v>26.9</v>
      </c>
      <c r="M554" s="30">
        <v>26.9</v>
      </c>
      <c r="N554" s="29" t="e">
        <f>NA()</f>
        <v>#N/A</v>
      </c>
      <c r="O554" s="29" t="e">
        <v>#N/A</v>
      </c>
      <c r="P554" s="51" t="e">
        <f t="shared" si="40"/>
        <v>#N/A</v>
      </c>
      <c r="Q554" s="29">
        <f>11</f>
        <v>11</v>
      </c>
      <c r="R554" s="43">
        <v>7.3</v>
      </c>
      <c r="S554" s="32">
        <f t="shared" si="43"/>
        <v>0.12307692307692306</v>
      </c>
      <c r="T554" s="54" t="e">
        <f>VLOOKUP(A554,[1]인포맥스!$A:$I,9,0)</f>
        <v>#N/A</v>
      </c>
      <c r="U554" s="70" t="e">
        <f t="shared" si="44"/>
        <v>#N/A</v>
      </c>
    </row>
    <row r="555" spans="1:21" x14ac:dyDescent="0.25">
      <c r="A555" s="3">
        <v>27545</v>
      </c>
      <c r="B555" s="29" t="e">
        <f>NA()</f>
        <v>#N/A</v>
      </c>
      <c r="C555" s="29" t="e">
        <v>#N/A</v>
      </c>
      <c r="D555" s="50">
        <f>41.2</f>
        <v>41.2</v>
      </c>
      <c r="E555" s="30">
        <v>41.2</v>
      </c>
      <c r="F555" s="29">
        <f>-4.1</f>
        <v>-4.0999999999999996</v>
      </c>
      <c r="G555" s="31" t="e">
        <v>#N/A</v>
      </c>
      <c r="H555" s="51" t="e">
        <f t="shared" si="41"/>
        <v>#N/A</v>
      </c>
      <c r="I555" s="29">
        <f>26.1</f>
        <v>26.1</v>
      </c>
      <c r="J555" s="31">
        <v>17.96</v>
      </c>
      <c r="K555" s="51">
        <f t="shared" si="42"/>
        <v>0.2612359550561798</v>
      </c>
      <c r="L555" s="29">
        <f>24.3</f>
        <v>24.3</v>
      </c>
      <c r="M555" s="30">
        <v>24.3</v>
      </c>
      <c r="N555" s="29" t="e">
        <f>NA()</f>
        <v>#N/A</v>
      </c>
      <c r="O555" s="29" t="e">
        <v>#N/A</v>
      </c>
      <c r="P555" s="51" t="e">
        <f t="shared" si="40"/>
        <v>#N/A</v>
      </c>
      <c r="Q555" s="29">
        <f>9.1</f>
        <v>9.1</v>
      </c>
      <c r="R555" s="43">
        <v>7.2</v>
      </c>
      <c r="S555" s="32">
        <f t="shared" si="43"/>
        <v>0.10769230769230773</v>
      </c>
      <c r="T555" s="54" t="e">
        <f>VLOOKUP(A555,[1]인포맥스!$A:$I,9,0)</f>
        <v>#N/A</v>
      </c>
      <c r="U555" s="70" t="e">
        <f t="shared" si="44"/>
        <v>#N/A</v>
      </c>
    </row>
    <row r="556" spans="1:21" x14ac:dyDescent="0.25">
      <c r="A556" s="3">
        <v>27514</v>
      </c>
      <c r="B556" s="29" t="e">
        <f>NA()</f>
        <v>#N/A</v>
      </c>
      <c r="C556" s="29" t="e">
        <v>#N/A</v>
      </c>
      <c r="D556" s="50">
        <f>37.5</f>
        <v>37.5</v>
      </c>
      <c r="E556" s="30">
        <v>37.5</v>
      </c>
      <c r="F556" s="29">
        <f>-14.1</f>
        <v>-14.1</v>
      </c>
      <c r="G556" s="31" t="e">
        <v>#N/A</v>
      </c>
      <c r="H556" s="51" t="e">
        <f t="shared" si="41"/>
        <v>#N/A</v>
      </c>
      <c r="I556" s="29">
        <f>24.1</f>
        <v>24.1</v>
      </c>
      <c r="J556" s="31">
        <v>17.559999999999999</v>
      </c>
      <c r="K556" s="51">
        <f t="shared" si="42"/>
        <v>0.24098939929328611</v>
      </c>
      <c r="L556" s="29">
        <f>20.6</f>
        <v>20.6</v>
      </c>
      <c r="M556" s="30">
        <v>20.6</v>
      </c>
      <c r="N556" s="29" t="e">
        <f>NA()</f>
        <v>#N/A</v>
      </c>
      <c r="O556" s="29" t="e">
        <v>#N/A</v>
      </c>
      <c r="P556" s="51" t="e">
        <f t="shared" si="40"/>
        <v>#N/A</v>
      </c>
      <c r="Q556" s="29">
        <f>6.4</f>
        <v>6.4</v>
      </c>
      <c r="R556" s="43">
        <v>7</v>
      </c>
      <c r="S556" s="32">
        <f t="shared" si="43"/>
        <v>7.6923076923076927E-2</v>
      </c>
      <c r="T556" s="54" t="e">
        <f>VLOOKUP(A556,[1]인포맥스!$A:$I,9,0)</f>
        <v>#N/A</v>
      </c>
      <c r="U556" s="70" t="e">
        <f t="shared" si="44"/>
        <v>#N/A</v>
      </c>
    </row>
    <row r="557" spans="1:21" x14ac:dyDescent="0.25">
      <c r="A557" s="3">
        <v>27484</v>
      </c>
      <c r="B557" s="29" t="e">
        <f>NA()</f>
        <v>#N/A</v>
      </c>
      <c r="C557" s="29" t="e">
        <v>#N/A</v>
      </c>
      <c r="D557" s="50">
        <f>31.6</f>
        <v>31.6</v>
      </c>
      <c r="E557" s="30">
        <v>31.6</v>
      </c>
      <c r="F557" s="29">
        <f>-15.5</f>
        <v>-15.5</v>
      </c>
      <c r="G557" s="31" t="e">
        <v>#N/A</v>
      </c>
      <c r="H557" s="51" t="e">
        <f t="shared" si="41"/>
        <v>#N/A</v>
      </c>
      <c r="I557" s="29">
        <f>25.9</f>
        <v>25.9</v>
      </c>
      <c r="J557" s="31">
        <v>17.100000000000001</v>
      </c>
      <c r="K557" s="51">
        <f t="shared" si="42"/>
        <v>0.25920471281296031</v>
      </c>
      <c r="L557" s="29">
        <f>19.1</f>
        <v>19.100000000000001</v>
      </c>
      <c r="M557" s="30">
        <v>19.100000000000001</v>
      </c>
      <c r="N557" s="29" t="e">
        <f>NA()</f>
        <v>#N/A</v>
      </c>
      <c r="O557" s="29" t="e">
        <v>#N/A</v>
      </c>
      <c r="P557" s="51" t="e">
        <f t="shared" si="40"/>
        <v>#N/A</v>
      </c>
      <c r="Q557" s="29">
        <f>4</f>
        <v>4</v>
      </c>
      <c r="R557" s="43">
        <v>6.9</v>
      </c>
      <c r="S557" s="32">
        <f t="shared" si="43"/>
        <v>4.5454545454545567E-2</v>
      </c>
      <c r="T557" s="54" t="e">
        <f>VLOOKUP(A557,[1]인포맥스!$A:$I,9,0)</f>
        <v>#N/A</v>
      </c>
      <c r="U557" s="70" t="e">
        <f t="shared" si="44"/>
        <v>#N/A</v>
      </c>
    </row>
    <row r="558" spans="1:21" x14ac:dyDescent="0.25">
      <c r="A558" s="3">
        <v>27453</v>
      </c>
      <c r="B558" s="29" t="e">
        <f>NA()</f>
        <v>#N/A</v>
      </c>
      <c r="C558" s="29" t="e">
        <v>#N/A</v>
      </c>
      <c r="D558" s="50">
        <f>34.4</f>
        <v>34.4</v>
      </c>
      <c r="E558" s="30">
        <v>34.4</v>
      </c>
      <c r="F558" s="29">
        <f>-4.3</f>
        <v>-4.3</v>
      </c>
      <c r="G558" s="31" t="e">
        <v>#N/A</v>
      </c>
      <c r="H558" s="51" t="e">
        <f t="shared" si="41"/>
        <v>#N/A</v>
      </c>
      <c r="I558" s="29">
        <f>29.1</f>
        <v>29.1</v>
      </c>
      <c r="J558" s="31">
        <v>17.02</v>
      </c>
      <c r="K558" s="51">
        <f t="shared" si="42"/>
        <v>0.29135053110773901</v>
      </c>
      <c r="L558" s="29">
        <f>21.3</f>
        <v>21.3</v>
      </c>
      <c r="M558" s="30">
        <v>21.3</v>
      </c>
      <c r="N558" s="29" t="e">
        <f>NA()</f>
        <v>#N/A</v>
      </c>
      <c r="O558" s="29" t="e">
        <v>#N/A</v>
      </c>
      <c r="P558" s="51" t="e">
        <f t="shared" si="40"/>
        <v>#N/A</v>
      </c>
      <c r="Q558" s="29">
        <f>2.9</f>
        <v>2.9</v>
      </c>
      <c r="R558" s="43">
        <v>6.8</v>
      </c>
      <c r="S558" s="32">
        <f t="shared" si="43"/>
        <v>1.4925373134328304E-2</v>
      </c>
      <c r="T558" s="54" t="e">
        <f>VLOOKUP(A558,[1]인포맥스!$A:$I,9,0)</f>
        <v>#N/A</v>
      </c>
      <c r="U558" s="70" t="e">
        <f t="shared" si="44"/>
        <v>#N/A</v>
      </c>
    </row>
    <row r="559" spans="1:21" x14ac:dyDescent="0.25">
      <c r="A559" s="3">
        <v>27425</v>
      </c>
      <c r="B559" s="29" t="e">
        <f>NA()</f>
        <v>#N/A</v>
      </c>
      <c r="C559" s="29" t="e">
        <v>#N/A</v>
      </c>
      <c r="D559" s="50">
        <f>30.7</f>
        <v>30.7</v>
      </c>
      <c r="E559" s="30">
        <v>30.7</v>
      </c>
      <c r="F559" s="29">
        <f>-15</f>
        <v>-15</v>
      </c>
      <c r="G559" s="31" t="e">
        <v>#N/A</v>
      </c>
      <c r="H559" s="51" t="e">
        <f t="shared" si="41"/>
        <v>#N/A</v>
      </c>
      <c r="I559" s="29">
        <f>46</f>
        <v>46</v>
      </c>
      <c r="J559" s="31">
        <v>16.809999999999999</v>
      </c>
      <c r="K559" s="51">
        <f t="shared" si="42"/>
        <v>0.46046915725456117</v>
      </c>
      <c r="L559" s="29">
        <f>25.4</f>
        <v>25.4</v>
      </c>
      <c r="M559" s="30">
        <v>25.4</v>
      </c>
      <c r="N559" s="29" t="e">
        <f>NA()</f>
        <v>#N/A</v>
      </c>
      <c r="O559" s="29" t="e">
        <v>#N/A</v>
      </c>
      <c r="P559" s="51" t="e">
        <f t="shared" si="40"/>
        <v>#N/A</v>
      </c>
      <c r="Q559" s="29">
        <f>1.4</f>
        <v>1.4</v>
      </c>
      <c r="R559" s="43">
        <v>6.7</v>
      </c>
      <c r="S559" s="32">
        <f t="shared" si="43"/>
        <v>0</v>
      </c>
      <c r="T559" s="54" t="e">
        <f>VLOOKUP(A559,[1]인포맥스!$A:$I,9,0)</f>
        <v>#N/A</v>
      </c>
      <c r="U559" s="70" t="e">
        <f t="shared" si="44"/>
        <v>#N/A</v>
      </c>
    </row>
    <row r="560" spans="1:21" x14ac:dyDescent="0.25">
      <c r="A560" s="3">
        <v>27394</v>
      </c>
      <c r="B560" s="29" t="e">
        <f>NA()</f>
        <v>#N/A</v>
      </c>
      <c r="C560" s="29" t="e">
        <v>#N/A</v>
      </c>
      <c r="D560" s="50">
        <f>30.9</f>
        <v>30.9</v>
      </c>
      <c r="E560" s="30">
        <v>30.9</v>
      </c>
      <c r="F560" s="29">
        <f>-7.5</f>
        <v>-7.5</v>
      </c>
      <c r="G560" s="31" t="e">
        <v>#N/A</v>
      </c>
      <c r="H560" s="51" t="e">
        <f t="shared" si="41"/>
        <v>#N/A</v>
      </c>
      <c r="I560" s="29">
        <f>44.6</f>
        <v>44.6</v>
      </c>
      <c r="J560" s="31">
        <v>15.86</v>
      </c>
      <c r="K560" s="51">
        <f t="shared" si="42"/>
        <v>0.44576116681859601</v>
      </c>
      <c r="L560" s="29">
        <f>26.4</f>
        <v>26.4</v>
      </c>
      <c r="M560" s="30">
        <v>26.4</v>
      </c>
      <c r="N560" s="29" t="e">
        <f>NA()</f>
        <v>#N/A</v>
      </c>
      <c r="O560" s="29" t="e">
        <v>#N/A</v>
      </c>
      <c r="P560" s="51" t="e">
        <f t="shared" si="40"/>
        <v>#N/A</v>
      </c>
      <c r="Q560" s="29">
        <f>1.5</f>
        <v>1.5</v>
      </c>
      <c r="R560" s="43">
        <v>6.7</v>
      </c>
      <c r="S560" s="32">
        <f t="shared" si="43"/>
        <v>0</v>
      </c>
      <c r="T560" s="54" t="e">
        <f>VLOOKUP(A560,[1]인포맥스!$A:$I,9,0)</f>
        <v>#N/A</v>
      </c>
      <c r="U560" s="70" t="e">
        <f t="shared" si="44"/>
        <v>#N/A</v>
      </c>
    </row>
    <row r="561" spans="1:21" x14ac:dyDescent="0.25">
      <c r="A561" s="3">
        <v>27363</v>
      </c>
      <c r="B561" s="29" t="e">
        <f>NA()</f>
        <v>#N/A</v>
      </c>
      <c r="C561" s="29" t="e">
        <v>#N/A</v>
      </c>
      <c r="D561" s="50">
        <f>37.9</f>
        <v>37.9</v>
      </c>
      <c r="E561" s="30">
        <v>37.9</v>
      </c>
      <c r="F561" s="29">
        <f>-2.6</f>
        <v>-2.6</v>
      </c>
      <c r="G561" s="31" t="e">
        <v>#N/A</v>
      </c>
      <c r="H561" s="51" t="e">
        <f t="shared" si="41"/>
        <v>#N/A</v>
      </c>
      <c r="I561" s="29">
        <f>44.4</f>
        <v>44.4</v>
      </c>
      <c r="J561" s="31">
        <v>15.02</v>
      </c>
      <c r="K561" s="51">
        <f t="shared" si="42"/>
        <v>0.44423076923076915</v>
      </c>
      <c r="L561" s="29">
        <f>28</f>
        <v>28</v>
      </c>
      <c r="M561" s="30">
        <v>28</v>
      </c>
      <c r="N561" s="29" t="e">
        <f>NA()</f>
        <v>#N/A</v>
      </c>
      <c r="O561" s="29" t="e">
        <v>#N/A</v>
      </c>
      <c r="P561" s="51" t="e">
        <f t="shared" si="40"/>
        <v>#N/A</v>
      </c>
      <c r="Q561" s="29">
        <f>-0.5</f>
        <v>-0.5</v>
      </c>
      <c r="R561" s="43">
        <v>6.6</v>
      </c>
      <c r="S561" s="32">
        <f t="shared" si="43"/>
        <v>-1.4925373134328438E-2</v>
      </c>
      <c r="T561" s="54" t="e">
        <f>VLOOKUP(A561,[1]인포맥스!$A:$I,9,0)</f>
        <v>#N/A</v>
      </c>
      <c r="U561" s="70" t="e">
        <f t="shared" si="44"/>
        <v>#N/A</v>
      </c>
    </row>
    <row r="562" spans="1:21" x14ac:dyDescent="0.25">
      <c r="A562" s="3">
        <v>27333</v>
      </c>
      <c r="B562" s="29" t="e">
        <f>NA()</f>
        <v>#N/A</v>
      </c>
      <c r="C562" s="29" t="e">
        <v>#N/A</v>
      </c>
      <c r="D562" s="50">
        <f>42.7</f>
        <v>42.7</v>
      </c>
      <c r="E562" s="30">
        <v>42.7</v>
      </c>
      <c r="F562" s="29">
        <f>-6.1</f>
        <v>-6.1</v>
      </c>
      <c r="G562" s="31" t="e">
        <v>#N/A</v>
      </c>
      <c r="H562" s="51" t="e">
        <f t="shared" si="41"/>
        <v>#N/A</v>
      </c>
      <c r="I562" s="29">
        <f>43</f>
        <v>43</v>
      </c>
      <c r="J562" s="31">
        <v>14.69</v>
      </c>
      <c r="K562" s="51">
        <f t="shared" si="42"/>
        <v>0.43037974683544306</v>
      </c>
      <c r="L562" s="29">
        <f>27.8</f>
        <v>27.8</v>
      </c>
      <c r="M562" s="30">
        <v>27.8</v>
      </c>
      <c r="N562" s="29" t="e">
        <f>NA()</f>
        <v>#N/A</v>
      </c>
      <c r="O562" s="29" t="e">
        <v>#N/A</v>
      </c>
      <c r="P562" s="51" t="e">
        <f t="shared" si="40"/>
        <v>#N/A</v>
      </c>
      <c r="Q562" s="29">
        <f>-1.6</f>
        <v>-1.6</v>
      </c>
      <c r="R562" s="43">
        <v>6.5</v>
      </c>
      <c r="S562" s="32">
        <f t="shared" si="43"/>
        <v>-2.9850746268656744E-2</v>
      </c>
      <c r="T562" s="54" t="e">
        <f>VLOOKUP(A562,[1]인포맥스!$A:$I,9,0)</f>
        <v>#N/A</v>
      </c>
      <c r="U562" s="70" t="e">
        <f t="shared" si="44"/>
        <v>#N/A</v>
      </c>
    </row>
    <row r="563" spans="1:21" x14ac:dyDescent="0.25">
      <c r="A563" s="3">
        <v>27302</v>
      </c>
      <c r="B563" s="29" t="e">
        <f>NA()</f>
        <v>#N/A</v>
      </c>
      <c r="C563" s="29" t="e">
        <v>#N/A</v>
      </c>
      <c r="D563" s="50">
        <f>46.2</f>
        <v>46.2</v>
      </c>
      <c r="E563" s="30">
        <v>46.2</v>
      </c>
      <c r="F563" s="29">
        <f>26.7</f>
        <v>26.7</v>
      </c>
      <c r="G563" s="31" t="e">
        <v>#N/A</v>
      </c>
      <c r="H563" s="51" t="e">
        <f t="shared" si="41"/>
        <v>#N/A</v>
      </c>
      <c r="I563" s="29">
        <f>42.8</f>
        <v>42.8</v>
      </c>
      <c r="J563" s="31">
        <v>14.64</v>
      </c>
      <c r="K563" s="51">
        <f t="shared" si="42"/>
        <v>0.42829268292682932</v>
      </c>
      <c r="L563" s="29">
        <f>29.2</f>
        <v>29.2</v>
      </c>
      <c r="M563" s="30">
        <v>29.2</v>
      </c>
      <c r="N563" s="29" t="e">
        <f>NA()</f>
        <v>#N/A</v>
      </c>
      <c r="O563" s="29" t="e">
        <v>#N/A</v>
      </c>
      <c r="P563" s="51" t="e">
        <f t="shared" si="40"/>
        <v>#N/A</v>
      </c>
      <c r="Q563" s="29">
        <f>-1.7</f>
        <v>-1.7</v>
      </c>
      <c r="R563" s="43">
        <v>6.5</v>
      </c>
      <c r="S563" s="32">
        <f t="shared" si="43"/>
        <v>-2.9850746268656744E-2</v>
      </c>
      <c r="T563" s="54" t="e">
        <f>VLOOKUP(A563,[1]인포맥스!$A:$I,9,0)</f>
        <v>#N/A</v>
      </c>
      <c r="U563" s="70" t="e">
        <f t="shared" si="44"/>
        <v>#N/A</v>
      </c>
    </row>
    <row r="564" spans="1:21" x14ac:dyDescent="0.25">
      <c r="A564" s="3">
        <v>27272</v>
      </c>
      <c r="B564" s="29" t="e">
        <f>NA()</f>
        <v>#N/A</v>
      </c>
      <c r="C564" s="29" t="e">
        <v>#N/A</v>
      </c>
      <c r="D564" s="50">
        <f>52.9</f>
        <v>52.9</v>
      </c>
      <c r="E564" s="30">
        <v>52.9</v>
      </c>
      <c r="F564" s="29">
        <f>20.5</f>
        <v>20.5</v>
      </c>
      <c r="G564" s="31" t="e">
        <v>#N/A</v>
      </c>
      <c r="H564" s="51" t="e">
        <f t="shared" si="41"/>
        <v>#N/A</v>
      </c>
      <c r="I564" s="29">
        <f>45.6</f>
        <v>45.6</v>
      </c>
      <c r="J564" s="31">
        <v>14.69</v>
      </c>
      <c r="K564" s="51">
        <f t="shared" si="42"/>
        <v>0.45589692765113971</v>
      </c>
      <c r="L564" s="29">
        <f>28.2</f>
        <v>28.2</v>
      </c>
      <c r="M564" s="30">
        <v>28.2</v>
      </c>
      <c r="N564" s="29" t="e">
        <f>NA()</f>
        <v>#N/A</v>
      </c>
      <c r="O564" s="29" t="e">
        <v>#N/A</v>
      </c>
      <c r="P564" s="51" t="e">
        <f t="shared" si="40"/>
        <v>#N/A</v>
      </c>
      <c r="Q564" s="29">
        <f>-1.7</f>
        <v>-1.7</v>
      </c>
      <c r="R564" s="43">
        <v>6.5</v>
      </c>
      <c r="S564" s="32">
        <f t="shared" si="43"/>
        <v>-2.9850746268656744E-2</v>
      </c>
      <c r="T564" s="54" t="e">
        <f>VLOOKUP(A564,[1]인포맥스!$A:$I,9,0)</f>
        <v>#N/A</v>
      </c>
      <c r="U564" s="70" t="e">
        <f t="shared" si="44"/>
        <v>#N/A</v>
      </c>
    </row>
    <row r="565" spans="1:21" x14ac:dyDescent="0.25">
      <c r="A565" s="3">
        <v>27241</v>
      </c>
      <c r="B565" s="29" t="e">
        <f>NA()</f>
        <v>#N/A</v>
      </c>
      <c r="C565" s="29" t="e">
        <v>#N/A</v>
      </c>
      <c r="D565" s="50">
        <f>54.8</f>
        <v>54.8</v>
      </c>
      <c r="E565" s="30">
        <v>54.8</v>
      </c>
      <c r="F565" s="29">
        <f>62.6</f>
        <v>62.6</v>
      </c>
      <c r="G565" s="31" t="e">
        <v>#N/A</v>
      </c>
      <c r="H565" s="51" t="e">
        <f t="shared" si="41"/>
        <v>#N/A</v>
      </c>
      <c r="I565" s="29">
        <f>47.4</f>
        <v>47.4</v>
      </c>
      <c r="J565" s="31">
        <v>14.56</v>
      </c>
      <c r="K565" s="51">
        <f t="shared" si="42"/>
        <v>0.47368421052631571</v>
      </c>
      <c r="L565" s="29">
        <f>25.5</f>
        <v>25.5</v>
      </c>
      <c r="M565" s="30">
        <v>25.5</v>
      </c>
      <c r="N565" s="29" t="e">
        <f>NA()</f>
        <v>#N/A</v>
      </c>
      <c r="O565" s="29" t="e">
        <v>#N/A</v>
      </c>
      <c r="P565" s="51" t="e">
        <f t="shared" si="40"/>
        <v>#N/A</v>
      </c>
      <c r="Q565" s="29">
        <f>-0.7</f>
        <v>-0.7</v>
      </c>
      <c r="R565" s="43">
        <v>6.5</v>
      </c>
      <c r="S565" s="32">
        <f t="shared" si="43"/>
        <v>-1.5151515151515098E-2</v>
      </c>
      <c r="T565" s="54" t="e">
        <f>VLOOKUP(A565,[1]인포맥스!$A:$I,9,0)</f>
        <v>#N/A</v>
      </c>
      <c r="U565" s="70" t="e">
        <f t="shared" si="44"/>
        <v>#N/A</v>
      </c>
    </row>
    <row r="566" spans="1:21" x14ac:dyDescent="0.25">
      <c r="A566" s="3">
        <v>27210</v>
      </c>
      <c r="B566" s="29" t="e">
        <f>NA()</f>
        <v>#N/A</v>
      </c>
      <c r="C566" s="29" t="e">
        <v>#N/A</v>
      </c>
      <c r="D566" s="50">
        <f>54.7</f>
        <v>54.7</v>
      </c>
      <c r="E566" s="30">
        <v>54.7</v>
      </c>
      <c r="F566" s="29">
        <f>79</f>
        <v>79</v>
      </c>
      <c r="G566" s="31" t="e">
        <v>#N/A</v>
      </c>
      <c r="H566" s="51" t="e">
        <f t="shared" si="41"/>
        <v>#N/A</v>
      </c>
      <c r="I566" s="29">
        <f>46.9</f>
        <v>46.9</v>
      </c>
      <c r="J566" s="31">
        <v>14.4</v>
      </c>
      <c r="K566" s="51">
        <f t="shared" si="42"/>
        <v>0.46938775510204073</v>
      </c>
      <c r="L566" s="29">
        <f>23.5</f>
        <v>23.5</v>
      </c>
      <c r="M566" s="30">
        <v>23.5</v>
      </c>
      <c r="N566" s="29" t="e">
        <f>NA()</f>
        <v>#N/A</v>
      </c>
      <c r="O566" s="29" t="e">
        <v>#N/A</v>
      </c>
      <c r="P566" s="51" t="e">
        <f t="shared" si="40"/>
        <v>#N/A</v>
      </c>
      <c r="Q566" s="29">
        <f>-0.1</f>
        <v>-0.1</v>
      </c>
      <c r="R566" s="43">
        <v>6.5</v>
      </c>
      <c r="S566" s="32">
        <f t="shared" si="43"/>
        <v>0</v>
      </c>
      <c r="T566" s="54" t="e">
        <f>VLOOKUP(A566,[1]인포맥스!$A:$I,9,0)</f>
        <v>#N/A</v>
      </c>
      <c r="U566" s="70" t="e">
        <f t="shared" si="44"/>
        <v>#N/A</v>
      </c>
    </row>
    <row r="567" spans="1:21" x14ac:dyDescent="0.25">
      <c r="A567" s="3">
        <v>27180</v>
      </c>
      <c r="B567" s="29" t="e">
        <f>NA()</f>
        <v>#N/A</v>
      </c>
      <c r="C567" s="29" t="e">
        <v>#N/A</v>
      </c>
      <c r="D567" s="50">
        <f>55.7</f>
        <v>55.7</v>
      </c>
      <c r="E567" s="30">
        <v>55.7</v>
      </c>
      <c r="F567" s="29">
        <f>61.2</f>
        <v>61.2</v>
      </c>
      <c r="G567" s="31" t="e">
        <v>#N/A</v>
      </c>
      <c r="H567" s="51" t="e">
        <f t="shared" si="41"/>
        <v>#N/A</v>
      </c>
      <c r="I567" s="29">
        <f>45.6</f>
        <v>45.6</v>
      </c>
      <c r="J567" s="31">
        <v>14.24</v>
      </c>
      <c r="K567" s="51">
        <f t="shared" si="42"/>
        <v>0.45603271983640092</v>
      </c>
      <c r="L567" s="29">
        <f>24.1</f>
        <v>24.1</v>
      </c>
      <c r="M567" s="30">
        <v>24.1</v>
      </c>
      <c r="N567" s="29" t="e">
        <f>NA()</f>
        <v>#N/A</v>
      </c>
      <c r="O567" s="29" t="e">
        <v>#N/A</v>
      </c>
      <c r="P567" s="51" t="e">
        <f t="shared" si="40"/>
        <v>#N/A</v>
      </c>
      <c r="Q567" s="29">
        <f>1.2</f>
        <v>1.2</v>
      </c>
      <c r="R567" s="43">
        <v>6.5</v>
      </c>
      <c r="S567" s="32">
        <f t="shared" si="43"/>
        <v>0</v>
      </c>
      <c r="T567" s="54" t="e">
        <f>VLOOKUP(A567,[1]인포맥스!$A:$I,9,0)</f>
        <v>#N/A</v>
      </c>
      <c r="U567" s="70" t="e">
        <f t="shared" si="44"/>
        <v>#N/A</v>
      </c>
    </row>
    <row r="568" spans="1:21" x14ac:dyDescent="0.25">
      <c r="A568" s="3">
        <v>27149</v>
      </c>
      <c r="B568" s="29" t="e">
        <f>NA()</f>
        <v>#N/A</v>
      </c>
      <c r="C568" s="29" t="e">
        <v>#N/A</v>
      </c>
      <c r="D568" s="50">
        <f>59.9</f>
        <v>59.9</v>
      </c>
      <c r="E568" s="30">
        <v>59.9</v>
      </c>
      <c r="F568" s="29">
        <f>79.1</f>
        <v>79.099999999999994</v>
      </c>
      <c r="G568" s="31" t="e">
        <v>#N/A</v>
      </c>
      <c r="H568" s="51" t="e">
        <f t="shared" si="41"/>
        <v>#N/A</v>
      </c>
      <c r="I568" s="29">
        <f>45.7</f>
        <v>45.7</v>
      </c>
      <c r="J568" s="31">
        <v>14.15</v>
      </c>
      <c r="K568" s="51">
        <f t="shared" si="42"/>
        <v>0.45726055612770333</v>
      </c>
      <c r="L568" s="29">
        <f>24.2</f>
        <v>24.2</v>
      </c>
      <c r="M568" s="30">
        <v>24.2</v>
      </c>
      <c r="N568" s="29" t="e">
        <f>NA()</f>
        <v>#N/A</v>
      </c>
      <c r="O568" s="29" t="e">
        <v>#N/A</v>
      </c>
      <c r="P568" s="51" t="e">
        <f t="shared" si="40"/>
        <v>#N/A</v>
      </c>
      <c r="Q568" s="29">
        <f>3</f>
        <v>3</v>
      </c>
      <c r="R568" s="43">
        <v>6.5</v>
      </c>
      <c r="S568" s="32">
        <f t="shared" si="43"/>
        <v>1.5624999999999944E-2</v>
      </c>
      <c r="T568" s="54" t="e">
        <f>VLOOKUP(A568,[1]인포맥스!$A:$I,9,0)</f>
        <v>#N/A</v>
      </c>
      <c r="U568" s="70" t="e">
        <f t="shared" si="44"/>
        <v>#N/A</v>
      </c>
    </row>
    <row r="569" spans="1:21" x14ac:dyDescent="0.25">
      <c r="A569" s="3">
        <v>27119</v>
      </c>
      <c r="B569" s="29" t="e">
        <f>NA()</f>
        <v>#N/A</v>
      </c>
      <c r="C569" s="29" t="e">
        <v>#N/A</v>
      </c>
      <c r="D569" s="50">
        <f>61.8</f>
        <v>61.8</v>
      </c>
      <c r="E569" s="30">
        <v>61.8</v>
      </c>
      <c r="F569" s="29">
        <f>72.6</f>
        <v>72.599999999999994</v>
      </c>
      <c r="G569" s="31" t="e">
        <v>#N/A</v>
      </c>
      <c r="H569" s="51" t="e">
        <f t="shared" si="41"/>
        <v>#N/A</v>
      </c>
      <c r="I569" s="29">
        <f>40.7</f>
        <v>40.700000000000003</v>
      </c>
      <c r="J569" s="31">
        <v>13.58</v>
      </c>
      <c r="K569" s="51">
        <f t="shared" si="42"/>
        <v>0.40725388601036266</v>
      </c>
      <c r="L569" s="29">
        <f>22.6</f>
        <v>22.6</v>
      </c>
      <c r="M569" s="30">
        <v>22.6</v>
      </c>
      <c r="N569" s="29" t="e">
        <f>NA()</f>
        <v>#N/A</v>
      </c>
      <c r="O569" s="29" t="e">
        <v>#N/A</v>
      </c>
      <c r="P569" s="51" t="e">
        <f t="shared" si="40"/>
        <v>#N/A</v>
      </c>
      <c r="Q569" s="29">
        <f>5.6</f>
        <v>5.6</v>
      </c>
      <c r="R569" s="43">
        <v>6.6</v>
      </c>
      <c r="S569" s="32">
        <f t="shared" si="43"/>
        <v>4.7619047619047596E-2</v>
      </c>
      <c r="T569" s="54" t="e">
        <f>VLOOKUP(A569,[1]인포맥스!$A:$I,9,0)</f>
        <v>#N/A</v>
      </c>
      <c r="U569" s="70" t="e">
        <f t="shared" si="44"/>
        <v>#N/A</v>
      </c>
    </row>
    <row r="570" spans="1:21" x14ac:dyDescent="0.25">
      <c r="A570" s="3">
        <v>27088</v>
      </c>
      <c r="B570" s="29" t="e">
        <f>NA()</f>
        <v>#N/A</v>
      </c>
      <c r="C570" s="29" t="e">
        <v>#N/A</v>
      </c>
      <c r="D570" s="50">
        <f>58.6</f>
        <v>58.6</v>
      </c>
      <c r="E570" s="30">
        <v>58.6</v>
      </c>
      <c r="F570" s="29">
        <f>90.8</f>
        <v>90.8</v>
      </c>
      <c r="G570" s="31" t="e">
        <v>#N/A</v>
      </c>
      <c r="H570" s="51" t="e">
        <f t="shared" si="41"/>
        <v>#N/A</v>
      </c>
      <c r="I570" s="29">
        <f>37</f>
        <v>37</v>
      </c>
      <c r="J570" s="31">
        <v>13.18</v>
      </c>
      <c r="K570" s="51">
        <f t="shared" si="42"/>
        <v>0.37006237006237014</v>
      </c>
      <c r="L570" s="29">
        <f>18.4</f>
        <v>18.399999999999999</v>
      </c>
      <c r="M570" s="30">
        <v>18.399999999999999</v>
      </c>
      <c r="N570" s="29" t="e">
        <f>NA()</f>
        <v>#N/A</v>
      </c>
      <c r="O570" s="29" t="e">
        <v>#N/A</v>
      </c>
      <c r="P570" s="51" t="e">
        <f t="shared" si="40"/>
        <v>#N/A</v>
      </c>
      <c r="Q570" s="29">
        <f>8.1</f>
        <v>8.1</v>
      </c>
      <c r="R570" s="43">
        <v>6.7</v>
      </c>
      <c r="S570" s="32">
        <f t="shared" si="43"/>
        <v>8.0645161290322578E-2</v>
      </c>
      <c r="T570" s="54" t="e">
        <f>VLOOKUP(A570,[1]인포맥스!$A:$I,9,0)</f>
        <v>#N/A</v>
      </c>
      <c r="U570" s="70" t="e">
        <f t="shared" si="44"/>
        <v>#N/A</v>
      </c>
    </row>
    <row r="571" spans="1:21" x14ac:dyDescent="0.25">
      <c r="A571" s="3">
        <v>27060</v>
      </c>
      <c r="B571" s="29" t="e">
        <f>NA()</f>
        <v>#N/A</v>
      </c>
      <c r="C571" s="29" t="e">
        <v>#N/A</v>
      </c>
      <c r="D571" s="50">
        <f>62.1</f>
        <v>62.1</v>
      </c>
      <c r="E571" s="30">
        <v>62.1</v>
      </c>
      <c r="F571" s="29">
        <f>106.1</f>
        <v>106.1</v>
      </c>
      <c r="G571" s="31" t="e">
        <v>#N/A</v>
      </c>
      <c r="H571" s="51" t="e">
        <f t="shared" si="41"/>
        <v>#N/A</v>
      </c>
      <c r="I571" s="29">
        <f>20.1</f>
        <v>20.100000000000001</v>
      </c>
      <c r="J571" s="31">
        <v>11.51</v>
      </c>
      <c r="K571" s="51">
        <f t="shared" si="42"/>
        <v>0.20146137787056365</v>
      </c>
      <c r="L571" s="29">
        <f>12.8</f>
        <v>12.8</v>
      </c>
      <c r="M571" s="30">
        <v>12.8</v>
      </c>
      <c r="N571" s="29" t="e">
        <f>NA()</f>
        <v>#N/A</v>
      </c>
      <c r="O571" s="29" t="e">
        <v>#N/A</v>
      </c>
      <c r="P571" s="51" t="e">
        <f t="shared" si="40"/>
        <v>#N/A</v>
      </c>
      <c r="Q571" s="29">
        <f>10.4</f>
        <v>10.4</v>
      </c>
      <c r="R571" s="43">
        <v>6.7</v>
      </c>
      <c r="S571" s="32">
        <f t="shared" si="43"/>
        <v>0.1166666666666667</v>
      </c>
      <c r="T571" s="54" t="e">
        <f>VLOOKUP(A571,[1]인포맥스!$A:$I,9,0)</f>
        <v>#N/A</v>
      </c>
      <c r="U571" s="70" t="e">
        <f t="shared" si="44"/>
        <v>#N/A</v>
      </c>
    </row>
    <row r="572" spans="1:21" x14ac:dyDescent="0.25">
      <c r="A572" s="3">
        <v>27029</v>
      </c>
      <c r="B572" s="29" t="e">
        <f>NA()</f>
        <v>#N/A</v>
      </c>
      <c r="C572" s="29" t="e">
        <v>#N/A</v>
      </c>
      <c r="D572" s="50">
        <f>63.6</f>
        <v>63.6</v>
      </c>
      <c r="E572" s="30">
        <v>63.6</v>
      </c>
      <c r="F572" s="29">
        <f>86.2</f>
        <v>86.2</v>
      </c>
      <c r="G572" s="31" t="e">
        <v>#N/A</v>
      </c>
      <c r="H572" s="51" t="e">
        <f t="shared" si="41"/>
        <v>#N/A</v>
      </c>
      <c r="I572" s="29">
        <f>15.1</f>
        <v>15.1</v>
      </c>
      <c r="J572" s="31">
        <v>10.97</v>
      </c>
      <c r="K572" s="51">
        <f t="shared" si="42"/>
        <v>0.15110178384050382</v>
      </c>
      <c r="L572" s="29">
        <f>8.5</f>
        <v>8.5</v>
      </c>
      <c r="M572" s="30">
        <v>8.5</v>
      </c>
      <c r="N572" s="29" t="e">
        <f>NA()</f>
        <v>#N/A</v>
      </c>
      <c r="O572" s="29" t="e">
        <v>#N/A</v>
      </c>
      <c r="P572" s="51" t="e">
        <f t="shared" si="40"/>
        <v>#N/A</v>
      </c>
      <c r="Q572" s="29">
        <f>12.1</f>
        <v>12.1</v>
      </c>
      <c r="R572" s="43">
        <v>6.7</v>
      </c>
      <c r="S572" s="32">
        <f t="shared" si="43"/>
        <v>0.13559322033898302</v>
      </c>
      <c r="T572" s="54" t="e">
        <f>VLOOKUP(A572,[1]인포맥스!$A:$I,9,0)</f>
        <v>#N/A</v>
      </c>
      <c r="U572" s="70" t="e">
        <f t="shared" si="44"/>
        <v>#N/A</v>
      </c>
    </row>
    <row r="573" spans="1:21" x14ac:dyDescent="0.25">
      <c r="A573" s="3">
        <v>26998</v>
      </c>
      <c r="B573" s="29" t="e">
        <f>NA()</f>
        <v>#N/A</v>
      </c>
      <c r="C573" s="29" t="e">
        <v>#N/A</v>
      </c>
      <c r="D573" s="50">
        <f>68.1</f>
        <v>68.099999999999994</v>
      </c>
      <c r="E573" s="30">
        <v>68.099999999999994</v>
      </c>
      <c r="F573" s="29">
        <f>125.8</f>
        <v>125.8</v>
      </c>
      <c r="G573" s="31" t="e">
        <v>#N/A</v>
      </c>
      <c r="H573" s="51" t="e">
        <f t="shared" si="41"/>
        <v>#N/A</v>
      </c>
      <c r="I573" s="29">
        <f>9.9</f>
        <v>9.9</v>
      </c>
      <c r="J573" s="31">
        <v>10.4</v>
      </c>
      <c r="K573" s="51">
        <f t="shared" si="42"/>
        <v>9.9365750528541158E-2</v>
      </c>
      <c r="L573" s="29">
        <f>5.6</f>
        <v>5.6</v>
      </c>
      <c r="M573" s="30">
        <v>5.6</v>
      </c>
      <c r="N573" s="29" t="e">
        <f>NA()</f>
        <v>#N/A</v>
      </c>
      <c r="O573" s="29" t="e">
        <v>#N/A</v>
      </c>
      <c r="P573" s="51" t="e">
        <f t="shared" si="40"/>
        <v>#N/A</v>
      </c>
      <c r="Q573" s="29">
        <f>14.3</f>
        <v>14.3</v>
      </c>
      <c r="R573" s="43">
        <v>6.7</v>
      </c>
      <c r="S573" s="32">
        <f t="shared" si="43"/>
        <v>0.15517241379310351</v>
      </c>
      <c r="T573" s="54" t="e">
        <f>VLOOKUP(A573,[1]인포맥스!$A:$I,9,0)</f>
        <v>#N/A</v>
      </c>
      <c r="U573" s="70" t="e">
        <f t="shared" si="44"/>
        <v>#N/A</v>
      </c>
    </row>
    <row r="574" spans="1:21" x14ac:dyDescent="0.25">
      <c r="A574" s="3">
        <v>26968</v>
      </c>
      <c r="B574" s="29" t="e">
        <f>NA()</f>
        <v>#N/A</v>
      </c>
      <c r="C574" s="29" t="e">
        <v>#N/A</v>
      </c>
      <c r="D574" s="50">
        <f>66.2</f>
        <v>66.2</v>
      </c>
      <c r="E574" s="30">
        <v>66.2</v>
      </c>
      <c r="F574" s="29">
        <f>149.4</f>
        <v>149.4</v>
      </c>
      <c r="G574" s="31" t="e">
        <v>#N/A</v>
      </c>
      <c r="H574" s="51" t="e">
        <f t="shared" si="41"/>
        <v>#N/A</v>
      </c>
      <c r="I574" s="29">
        <f>8.7</f>
        <v>8.6999999999999993</v>
      </c>
      <c r="J574" s="31">
        <v>10.27</v>
      </c>
      <c r="K574" s="51">
        <f t="shared" si="42"/>
        <v>8.6772486772486807E-2</v>
      </c>
      <c r="L574" s="29">
        <f>2.4</f>
        <v>2.4</v>
      </c>
      <c r="M574" s="30">
        <v>2.4</v>
      </c>
      <c r="N574" s="29" t="e">
        <f>NA()</f>
        <v>#N/A</v>
      </c>
      <c r="O574" s="29" t="e">
        <v>#N/A</v>
      </c>
      <c r="P574" s="51" t="e">
        <f t="shared" si="40"/>
        <v>#N/A</v>
      </c>
      <c r="Q574" s="29">
        <f>17.1</f>
        <v>17.100000000000001</v>
      </c>
      <c r="R574" s="43">
        <v>6.7</v>
      </c>
      <c r="S574" s="32">
        <f t="shared" si="43"/>
        <v>0.19642857142857154</v>
      </c>
      <c r="T574" s="54" t="e">
        <f>VLOOKUP(A574,[1]인포맥스!$A:$I,9,0)</f>
        <v>#N/A</v>
      </c>
      <c r="U574" s="70" t="e">
        <f t="shared" si="44"/>
        <v>#N/A</v>
      </c>
    </row>
    <row r="575" spans="1:21" x14ac:dyDescent="0.25">
      <c r="A575" s="3">
        <v>26937</v>
      </c>
      <c r="B575" s="29" t="e">
        <f>NA()</f>
        <v>#N/A</v>
      </c>
      <c r="C575" s="29" t="e">
        <v>#N/A</v>
      </c>
      <c r="D575" s="50">
        <f>63.5</f>
        <v>63.5</v>
      </c>
      <c r="E575" s="30">
        <v>63.5</v>
      </c>
      <c r="F575" s="29">
        <f>99.9</f>
        <v>99.9</v>
      </c>
      <c r="G575" s="31" t="e">
        <v>#N/A</v>
      </c>
      <c r="H575" s="51" t="e">
        <f t="shared" si="41"/>
        <v>#N/A</v>
      </c>
      <c r="I575" s="29">
        <f>8</f>
        <v>8</v>
      </c>
      <c r="J575" s="31">
        <v>10.25</v>
      </c>
      <c r="K575" s="51">
        <f t="shared" si="42"/>
        <v>8.0084299262381434E-2</v>
      </c>
      <c r="L575" s="29">
        <f>1.1</f>
        <v>1.1000000000000001</v>
      </c>
      <c r="M575" s="30">
        <v>1.1000000000000001</v>
      </c>
      <c r="N575" s="29" t="e">
        <f>NA()</f>
        <v>#N/A</v>
      </c>
      <c r="O575" s="29" t="e">
        <v>#N/A</v>
      </c>
      <c r="P575" s="51" t="e">
        <f t="shared" si="40"/>
        <v>#N/A</v>
      </c>
      <c r="Q575" s="29">
        <f>19.5</f>
        <v>19.5</v>
      </c>
      <c r="R575" s="43">
        <v>6.7</v>
      </c>
      <c r="S575" s="32">
        <f t="shared" si="43"/>
        <v>0.21818181818181823</v>
      </c>
      <c r="T575" s="54" t="e">
        <f>VLOOKUP(A575,[1]인포맥스!$A:$I,9,0)</f>
        <v>#N/A</v>
      </c>
      <c r="U575" s="70" t="e">
        <f t="shared" si="44"/>
        <v>#N/A</v>
      </c>
    </row>
    <row r="576" spans="1:21" x14ac:dyDescent="0.25">
      <c r="A576" s="3">
        <v>26907</v>
      </c>
      <c r="B576" s="29" t="e">
        <f>NA()</f>
        <v>#N/A</v>
      </c>
      <c r="C576" s="29" t="e">
        <v>#N/A</v>
      </c>
      <c r="D576" s="50">
        <f>62.7</f>
        <v>62.7</v>
      </c>
      <c r="E576" s="30">
        <v>62.7</v>
      </c>
      <c r="F576" s="29">
        <f>91.2</f>
        <v>91.2</v>
      </c>
      <c r="G576" s="31" t="e">
        <v>#N/A</v>
      </c>
      <c r="H576" s="51" t="e">
        <f t="shared" si="41"/>
        <v>#N/A</v>
      </c>
      <c r="I576" s="29">
        <f>6</f>
        <v>6</v>
      </c>
      <c r="J576" s="31">
        <v>10.09</v>
      </c>
      <c r="K576" s="51">
        <f t="shared" si="42"/>
        <v>5.9873949579831963E-2</v>
      </c>
      <c r="L576" s="29">
        <f>0.3</f>
        <v>0.3</v>
      </c>
      <c r="M576" s="30">
        <v>0.3</v>
      </c>
      <c r="N576" s="29" t="e">
        <f>NA()</f>
        <v>#N/A</v>
      </c>
      <c r="O576" s="29" t="e">
        <v>#N/A</v>
      </c>
      <c r="P576" s="51" t="e">
        <f t="shared" si="40"/>
        <v>#N/A</v>
      </c>
      <c r="Q576" s="29">
        <f>21.5</f>
        <v>21.5</v>
      </c>
      <c r="R576" s="43">
        <v>6.7</v>
      </c>
      <c r="S576" s="32">
        <f t="shared" si="43"/>
        <v>0.2407407407407407</v>
      </c>
      <c r="T576" s="54" t="e">
        <f>VLOOKUP(A576,[1]인포맥스!$A:$I,9,0)</f>
        <v>#N/A</v>
      </c>
      <c r="U576" s="70" t="e">
        <f t="shared" si="44"/>
        <v>#N/A</v>
      </c>
    </row>
    <row r="577" spans="1:21" x14ac:dyDescent="0.25">
      <c r="A577" s="3">
        <v>26876</v>
      </c>
      <c r="B577" s="29" t="e">
        <f>NA()</f>
        <v>#N/A</v>
      </c>
      <c r="C577" s="29" t="e">
        <v>#N/A</v>
      </c>
      <c r="D577" s="50">
        <f>57.8</f>
        <v>57.8</v>
      </c>
      <c r="E577" s="30">
        <v>57.8</v>
      </c>
      <c r="F577" s="29">
        <f>84.2</f>
        <v>84.2</v>
      </c>
      <c r="G577" s="31" t="e">
        <v>#N/A</v>
      </c>
      <c r="H577" s="51" t="e">
        <f t="shared" si="41"/>
        <v>#N/A</v>
      </c>
      <c r="I577" s="29">
        <f>4.6</f>
        <v>4.5999999999999996</v>
      </c>
      <c r="J577" s="31">
        <v>9.8800000000000008</v>
      </c>
      <c r="K577" s="51">
        <f t="shared" si="42"/>
        <v>4.5502645502645662E-2</v>
      </c>
      <c r="L577" s="29">
        <f>0.9</f>
        <v>0.9</v>
      </c>
      <c r="M577" s="30">
        <v>0.9</v>
      </c>
      <c r="N577" s="29" t="e">
        <f>NA()</f>
        <v>#N/A</v>
      </c>
      <c r="O577" s="29" t="e">
        <v>#N/A</v>
      </c>
      <c r="P577" s="51" t="e">
        <f t="shared" si="40"/>
        <v>#N/A</v>
      </c>
      <c r="Q577" s="29">
        <f>22.2</f>
        <v>22.2</v>
      </c>
      <c r="R577" s="43">
        <v>6.6</v>
      </c>
      <c r="S577" s="32">
        <f t="shared" si="43"/>
        <v>0.2452830188679245</v>
      </c>
      <c r="T577" s="54" t="e">
        <f>VLOOKUP(A577,[1]인포맥스!$A:$I,9,0)</f>
        <v>#N/A</v>
      </c>
      <c r="U577" s="70" t="e">
        <f t="shared" si="44"/>
        <v>#N/A</v>
      </c>
    </row>
    <row r="578" spans="1:21" x14ac:dyDescent="0.25">
      <c r="A578" s="3">
        <v>26845</v>
      </c>
      <c r="B578" s="29" t="e">
        <f>NA()</f>
        <v>#N/A</v>
      </c>
      <c r="C578" s="29" t="e">
        <v>#N/A</v>
      </c>
      <c r="D578" s="50">
        <f>65</f>
        <v>65</v>
      </c>
      <c r="E578" s="30">
        <v>65</v>
      </c>
      <c r="F578" s="29">
        <f>71.8</f>
        <v>71.8</v>
      </c>
      <c r="G578" s="31" t="e">
        <v>#N/A</v>
      </c>
      <c r="H578" s="51" t="e">
        <f t="shared" si="41"/>
        <v>#N/A</v>
      </c>
      <c r="I578" s="29">
        <f>4</f>
        <v>4</v>
      </c>
      <c r="J578" s="31">
        <v>9.8000000000000007</v>
      </c>
      <c r="K578" s="51">
        <f t="shared" si="42"/>
        <v>4.0339702760085007E-2</v>
      </c>
      <c r="L578" s="29">
        <f>1.4</f>
        <v>1.4</v>
      </c>
      <c r="M578" s="30">
        <v>1.4</v>
      </c>
      <c r="N578" s="29" t="e">
        <f>NA()</f>
        <v>#N/A</v>
      </c>
      <c r="O578" s="29" t="e">
        <v>#N/A</v>
      </c>
      <c r="P578" s="51" t="e">
        <f t="shared" si="40"/>
        <v>#N/A</v>
      </c>
      <c r="Q578" s="29">
        <f>22.6</f>
        <v>22.6</v>
      </c>
      <c r="R578" s="43">
        <v>6.5</v>
      </c>
      <c r="S578" s="32">
        <f t="shared" si="43"/>
        <v>0.24999999999999994</v>
      </c>
      <c r="T578" s="54" t="e">
        <f>VLOOKUP(A578,[1]인포맥스!$A:$I,9,0)</f>
        <v>#N/A</v>
      </c>
      <c r="U578" s="70" t="e">
        <f t="shared" si="44"/>
        <v>#N/A</v>
      </c>
    </row>
    <row r="579" spans="1:21" x14ac:dyDescent="0.25">
      <c r="A579" s="3">
        <v>26815</v>
      </c>
      <c r="B579" s="29" t="e">
        <f>NA()</f>
        <v>#N/A</v>
      </c>
      <c r="C579" s="29" t="e">
        <v>#N/A</v>
      </c>
      <c r="D579" s="50">
        <f>64.8</f>
        <v>64.8</v>
      </c>
      <c r="E579" s="30">
        <v>64.8</v>
      </c>
      <c r="F579" s="29">
        <f>107.5</f>
        <v>107.5</v>
      </c>
      <c r="G579" s="31" t="e">
        <v>#N/A</v>
      </c>
      <c r="H579" s="51" t="e">
        <f t="shared" si="41"/>
        <v>#N/A</v>
      </c>
      <c r="I579" s="29">
        <f>4.2</f>
        <v>4.2</v>
      </c>
      <c r="J579" s="31">
        <v>9.7799999999999994</v>
      </c>
      <c r="K579" s="51">
        <f t="shared" si="42"/>
        <v>4.1533546325878461E-2</v>
      </c>
      <c r="L579" s="29">
        <f>2.2</f>
        <v>2.2000000000000002</v>
      </c>
      <c r="M579" s="30">
        <v>2.2000000000000002</v>
      </c>
      <c r="N579" s="29" t="e">
        <f>NA()</f>
        <v>#N/A</v>
      </c>
      <c r="O579" s="29" t="e">
        <v>#N/A</v>
      </c>
      <c r="P579" s="51" t="e">
        <f t="shared" si="40"/>
        <v>#N/A</v>
      </c>
      <c r="Q579" s="29">
        <f>24</f>
        <v>24</v>
      </c>
      <c r="R579" s="43">
        <v>6.5</v>
      </c>
      <c r="S579" s="32">
        <f t="shared" si="43"/>
        <v>0.27450980392156871</v>
      </c>
      <c r="T579" s="54" t="e">
        <f>VLOOKUP(A579,[1]인포맥스!$A:$I,9,0)</f>
        <v>#N/A</v>
      </c>
      <c r="U579" s="70" t="e">
        <f t="shared" si="44"/>
        <v>#N/A</v>
      </c>
    </row>
    <row r="580" spans="1:21" x14ac:dyDescent="0.25">
      <c r="A580" s="3">
        <v>26784</v>
      </c>
      <c r="B580" s="29" t="e">
        <f>NA()</f>
        <v>#N/A</v>
      </c>
      <c r="C580" s="29" t="e">
        <v>#N/A</v>
      </c>
      <c r="D580" s="50">
        <f>67.7</f>
        <v>67.7</v>
      </c>
      <c r="E580" s="30">
        <v>67.7</v>
      </c>
      <c r="F580" s="29">
        <f>88.1</f>
        <v>88.1</v>
      </c>
      <c r="G580" s="31" t="e">
        <v>#N/A</v>
      </c>
      <c r="H580" s="51" t="e">
        <f t="shared" si="41"/>
        <v>#N/A</v>
      </c>
      <c r="I580" s="29">
        <f>4.4</f>
        <v>4.4000000000000004</v>
      </c>
      <c r="J580" s="31">
        <v>9.7100000000000009</v>
      </c>
      <c r="K580" s="51">
        <f t="shared" si="42"/>
        <v>4.4086021505376355E-2</v>
      </c>
      <c r="L580" s="29">
        <f>2</f>
        <v>2</v>
      </c>
      <c r="M580" s="30">
        <v>2</v>
      </c>
      <c r="N580" s="29" t="e">
        <f>NA()</f>
        <v>#N/A</v>
      </c>
      <c r="O580" s="29" t="e">
        <v>#N/A</v>
      </c>
      <c r="P580" s="51" t="e">
        <f t="shared" si="40"/>
        <v>#N/A</v>
      </c>
      <c r="Q580" s="29">
        <f>24.5</f>
        <v>24.5</v>
      </c>
      <c r="R580" s="43">
        <v>6.4</v>
      </c>
      <c r="S580" s="32">
        <f t="shared" si="43"/>
        <v>0.28000000000000008</v>
      </c>
      <c r="T580" s="54" t="e">
        <f>VLOOKUP(A580,[1]인포맥스!$A:$I,9,0)</f>
        <v>#N/A</v>
      </c>
      <c r="U580" s="70" t="e">
        <f t="shared" si="44"/>
        <v>#N/A</v>
      </c>
    </row>
    <row r="581" spans="1:21" x14ac:dyDescent="0.25">
      <c r="A581" s="3">
        <v>26754</v>
      </c>
      <c r="B581" s="29" t="e">
        <f>NA()</f>
        <v>#N/A</v>
      </c>
      <c r="C581" s="29" t="e">
        <v>#N/A</v>
      </c>
      <c r="D581" s="50">
        <f>69.6</f>
        <v>69.599999999999994</v>
      </c>
      <c r="E581" s="30">
        <v>69.599999999999994</v>
      </c>
      <c r="F581" s="29">
        <f>127.6</f>
        <v>127.6</v>
      </c>
      <c r="G581" s="31" t="e">
        <v>#N/A</v>
      </c>
      <c r="H581" s="51" t="e">
        <f t="shared" si="41"/>
        <v>#N/A</v>
      </c>
      <c r="I581" s="29">
        <f>4.4</f>
        <v>4.4000000000000004</v>
      </c>
      <c r="J581" s="31">
        <v>9.65</v>
      </c>
      <c r="K581" s="51">
        <f t="shared" si="42"/>
        <v>4.4372294372294389E-2</v>
      </c>
      <c r="L581" s="29">
        <f>2.1</f>
        <v>2.1</v>
      </c>
      <c r="M581" s="30">
        <v>2.1</v>
      </c>
      <c r="N581" s="29" t="e">
        <f>NA()</f>
        <v>#N/A</v>
      </c>
      <c r="O581" s="29" t="e">
        <v>#N/A</v>
      </c>
      <c r="P581" s="51" t="e">
        <f t="shared" ref="P581:P644" si="45">(O581-O593)/O593</f>
        <v>#N/A</v>
      </c>
      <c r="Q581" s="29">
        <f>24.7</f>
        <v>24.7</v>
      </c>
      <c r="R581" s="43">
        <v>6.3</v>
      </c>
      <c r="S581" s="32">
        <f t="shared" si="43"/>
        <v>0.25999999999999995</v>
      </c>
      <c r="T581" s="54" t="e">
        <f>VLOOKUP(A581,[1]인포맥스!$A:$I,9,0)</f>
        <v>#N/A</v>
      </c>
      <c r="U581" s="70" t="e">
        <f t="shared" si="44"/>
        <v>#N/A</v>
      </c>
    </row>
    <row r="582" spans="1:21" x14ac:dyDescent="0.25">
      <c r="A582" s="3">
        <v>26723</v>
      </c>
      <c r="B582" s="29" t="e">
        <f>NA()</f>
        <v>#N/A</v>
      </c>
      <c r="C582" s="29" t="e">
        <v>#N/A</v>
      </c>
      <c r="D582" s="50">
        <f>69.6</f>
        <v>69.599999999999994</v>
      </c>
      <c r="E582" s="30">
        <v>69.599999999999994</v>
      </c>
      <c r="F582" s="29">
        <f>56</f>
        <v>56</v>
      </c>
      <c r="G582" s="31" t="e">
        <v>#N/A</v>
      </c>
      <c r="H582" s="51" t="e">
        <f t="shared" ref="H582:H645" si="46">(G582-G594)/G594</f>
        <v>#N/A</v>
      </c>
      <c r="I582" s="29">
        <f>6.1</f>
        <v>6.1</v>
      </c>
      <c r="J582" s="31">
        <v>9.6199999999999992</v>
      </c>
      <c r="K582" s="51">
        <f t="shared" ref="K582:K645" si="47">(J582-J594)/J594</f>
        <v>6.0639470782800318E-2</v>
      </c>
      <c r="L582" s="29">
        <f>4.8</f>
        <v>4.8</v>
      </c>
      <c r="M582" s="30">
        <v>4.8</v>
      </c>
      <c r="N582" s="29" t="e">
        <f>NA()</f>
        <v>#N/A</v>
      </c>
      <c r="O582" s="29" t="e">
        <v>#N/A</v>
      </c>
      <c r="P582" s="51" t="e">
        <f t="shared" si="45"/>
        <v>#N/A</v>
      </c>
      <c r="Q582" s="29">
        <f>22.5</f>
        <v>22.5</v>
      </c>
      <c r="R582" s="43">
        <v>6.2</v>
      </c>
      <c r="S582" s="32">
        <f t="shared" ref="S582:S645" si="48">(R582-R594)/R594</f>
        <v>0.26530612244897955</v>
      </c>
      <c r="T582" s="54" t="e">
        <f>VLOOKUP(A582,[1]인포맥스!$A:$I,9,0)</f>
        <v>#N/A</v>
      </c>
      <c r="U582" s="70" t="e">
        <f t="shared" ref="U582:U645" si="49">(T582-T594)/T594</f>
        <v>#N/A</v>
      </c>
    </row>
    <row r="583" spans="1:21" x14ac:dyDescent="0.25">
      <c r="A583" s="3">
        <v>26695</v>
      </c>
      <c r="B583" s="29" t="e">
        <f>NA()</f>
        <v>#N/A</v>
      </c>
      <c r="C583" s="29" t="e">
        <v>#N/A</v>
      </c>
      <c r="D583" s="50">
        <f>72.1</f>
        <v>72.099999999999994</v>
      </c>
      <c r="E583" s="30">
        <v>72.099999999999994</v>
      </c>
      <c r="F583" s="29">
        <f>92.4</f>
        <v>92.4</v>
      </c>
      <c r="G583" s="31" t="e">
        <v>#N/A</v>
      </c>
      <c r="H583" s="51" t="e">
        <f t="shared" si="46"/>
        <v>#N/A</v>
      </c>
      <c r="I583" s="29">
        <f>8.1</f>
        <v>8.1</v>
      </c>
      <c r="J583" s="31">
        <v>9.58</v>
      </c>
      <c r="K583" s="51">
        <f t="shared" si="47"/>
        <v>8.1264108352144551E-2</v>
      </c>
      <c r="L583" s="29">
        <f>7.9</f>
        <v>7.9</v>
      </c>
      <c r="M583" s="30">
        <v>7.9</v>
      </c>
      <c r="N583" s="29" t="e">
        <f>NA()</f>
        <v>#N/A</v>
      </c>
      <c r="O583" s="29" t="e">
        <v>#N/A</v>
      </c>
      <c r="P583" s="51" t="e">
        <f t="shared" si="45"/>
        <v>#N/A</v>
      </c>
      <c r="Q583" s="29">
        <f>20.7</f>
        <v>20.7</v>
      </c>
      <c r="R583" s="43">
        <v>6</v>
      </c>
      <c r="S583" s="32">
        <f t="shared" si="48"/>
        <v>0.22448979591836726</v>
      </c>
      <c r="T583" s="54" t="e">
        <f>VLOOKUP(A583,[1]인포맥스!$A:$I,9,0)</f>
        <v>#N/A</v>
      </c>
      <c r="U583" s="70" t="e">
        <f t="shared" si="49"/>
        <v>#N/A</v>
      </c>
    </row>
    <row r="584" spans="1:21" x14ac:dyDescent="0.25">
      <c r="A584" s="3">
        <v>26664</v>
      </c>
      <c r="B584" s="29" t="e">
        <f>NA()</f>
        <v>#N/A</v>
      </c>
      <c r="C584" s="29" t="e">
        <v>#N/A</v>
      </c>
      <c r="D584" s="50">
        <f>70.5</f>
        <v>70.5</v>
      </c>
      <c r="E584" s="30">
        <v>70.5</v>
      </c>
      <c r="F584" s="29">
        <f>72.3</f>
        <v>72.3</v>
      </c>
      <c r="G584" s="31" t="e">
        <v>#N/A</v>
      </c>
      <c r="H584" s="51" t="e">
        <f t="shared" si="46"/>
        <v>#N/A</v>
      </c>
      <c r="I584" s="29">
        <f>8.4</f>
        <v>8.4</v>
      </c>
      <c r="J584" s="31">
        <v>9.5299999999999994</v>
      </c>
      <c r="K584" s="51">
        <f t="shared" si="47"/>
        <v>8.4186575654152482E-2</v>
      </c>
      <c r="L584" s="29">
        <f>9.2</f>
        <v>9.1999999999999993</v>
      </c>
      <c r="M584" s="30">
        <v>9.1999999999999993</v>
      </c>
      <c r="N584" s="29" t="e">
        <f>NA()</f>
        <v>#N/A</v>
      </c>
      <c r="O584" s="29" t="e">
        <v>#N/A</v>
      </c>
      <c r="P584" s="51" t="e">
        <f t="shared" si="45"/>
        <v>#N/A</v>
      </c>
      <c r="Q584" s="29">
        <f>18.3</f>
        <v>18.3</v>
      </c>
      <c r="R584" s="43">
        <v>5.9</v>
      </c>
      <c r="S584" s="32">
        <f t="shared" si="48"/>
        <v>0.2040816326530612</v>
      </c>
      <c r="T584" s="54" t="e">
        <f>VLOOKUP(A584,[1]인포맥스!$A:$I,9,0)</f>
        <v>#N/A</v>
      </c>
      <c r="U584" s="70" t="e">
        <f t="shared" si="49"/>
        <v>#N/A</v>
      </c>
    </row>
    <row r="585" spans="1:21" x14ac:dyDescent="0.25">
      <c r="A585" s="3">
        <v>26633</v>
      </c>
      <c r="B585" s="29" t="e">
        <f>NA()</f>
        <v>#N/A</v>
      </c>
      <c r="C585" s="29" t="e">
        <v>#N/A</v>
      </c>
      <c r="D585" s="50">
        <f>69.9</f>
        <v>69.900000000000006</v>
      </c>
      <c r="E585" s="30">
        <v>69.900000000000006</v>
      </c>
      <c r="F585" s="29">
        <f>46.4</f>
        <v>46.4</v>
      </c>
      <c r="G585" s="31" t="e">
        <v>#N/A</v>
      </c>
      <c r="H585" s="51" t="e">
        <f t="shared" si="46"/>
        <v>#N/A</v>
      </c>
      <c r="I585" s="29">
        <f>8.6</f>
        <v>8.6</v>
      </c>
      <c r="J585" s="31">
        <v>9.4600000000000009</v>
      </c>
      <c r="K585" s="51">
        <f t="shared" si="47"/>
        <v>8.6107921928817444E-2</v>
      </c>
      <c r="L585" s="29">
        <f>10.1</f>
        <v>10.1</v>
      </c>
      <c r="M585" s="30">
        <v>10.1</v>
      </c>
      <c r="N585" s="29" t="e">
        <f>NA()</f>
        <v>#N/A</v>
      </c>
      <c r="O585" s="29" t="e">
        <v>#N/A</v>
      </c>
      <c r="P585" s="51" t="e">
        <f t="shared" si="45"/>
        <v>#N/A</v>
      </c>
      <c r="Q585" s="29">
        <f>17</f>
        <v>17</v>
      </c>
      <c r="R585" s="43">
        <v>5.8</v>
      </c>
      <c r="S585" s="32">
        <f t="shared" si="48"/>
        <v>0.18367346938775497</v>
      </c>
      <c r="T585" s="54" t="e">
        <f>VLOOKUP(A585,[1]인포맥스!$A:$I,9,0)</f>
        <v>#N/A</v>
      </c>
      <c r="U585" s="70" t="e">
        <f t="shared" si="49"/>
        <v>#N/A</v>
      </c>
    </row>
    <row r="586" spans="1:21" x14ac:dyDescent="0.25">
      <c r="A586" s="3">
        <v>26603</v>
      </c>
      <c r="B586" s="29" t="e">
        <f>NA()</f>
        <v>#N/A</v>
      </c>
      <c r="C586" s="29" t="e">
        <v>#N/A</v>
      </c>
      <c r="D586" s="50">
        <f>67</f>
        <v>67</v>
      </c>
      <c r="E586" s="30">
        <v>67</v>
      </c>
      <c r="F586" s="29">
        <f>49.1</f>
        <v>49.1</v>
      </c>
      <c r="G586" s="31" t="e">
        <v>#N/A</v>
      </c>
      <c r="H586" s="51" t="e">
        <f t="shared" si="46"/>
        <v>#N/A</v>
      </c>
      <c r="I586" s="29">
        <f>9.6</f>
        <v>9.6</v>
      </c>
      <c r="J586" s="31">
        <v>9.4499999999999993</v>
      </c>
      <c r="K586" s="51">
        <f t="shared" si="47"/>
        <v>9.6287703016241316E-2</v>
      </c>
      <c r="L586" s="29">
        <f>12.4</f>
        <v>12.4</v>
      </c>
      <c r="M586" s="30">
        <v>12.4</v>
      </c>
      <c r="N586" s="29" t="e">
        <f>NA()</f>
        <v>#N/A</v>
      </c>
      <c r="O586" s="29" t="e">
        <v>#N/A</v>
      </c>
      <c r="P586" s="51" t="e">
        <f t="shared" si="45"/>
        <v>#N/A</v>
      </c>
      <c r="Q586" s="29">
        <f>15</f>
        <v>15</v>
      </c>
      <c r="R586" s="43">
        <v>5.6</v>
      </c>
      <c r="S586" s="32">
        <f t="shared" si="48"/>
        <v>0.14285714285714271</v>
      </c>
      <c r="T586" s="54" t="e">
        <f>VLOOKUP(A586,[1]인포맥스!$A:$I,9,0)</f>
        <v>#N/A</v>
      </c>
      <c r="U586" s="70" t="e">
        <f t="shared" si="49"/>
        <v>#N/A</v>
      </c>
    </row>
    <row r="587" spans="1:21" x14ac:dyDescent="0.25">
      <c r="A587" s="3">
        <v>26572</v>
      </c>
      <c r="B587" s="29" t="e">
        <f>NA()</f>
        <v>#N/A</v>
      </c>
      <c r="C587" s="29" t="e">
        <v>#N/A</v>
      </c>
      <c r="D587" s="50">
        <f>65.1</f>
        <v>65.099999999999994</v>
      </c>
      <c r="E587" s="30">
        <v>65.099999999999994</v>
      </c>
      <c r="F587" s="29">
        <f>72.1</f>
        <v>72.099999999999994</v>
      </c>
      <c r="G587" s="31" t="e">
        <v>#N/A</v>
      </c>
      <c r="H587" s="51" t="e">
        <f t="shared" si="46"/>
        <v>#N/A</v>
      </c>
      <c r="I587" s="29">
        <f>12.2</f>
        <v>12.2</v>
      </c>
      <c r="J587" s="31">
        <v>9.49</v>
      </c>
      <c r="K587" s="51">
        <f t="shared" si="47"/>
        <v>0.12174940898345145</v>
      </c>
      <c r="L587" s="29">
        <f>12.8</f>
        <v>12.8</v>
      </c>
      <c r="M587" s="30">
        <v>12.8</v>
      </c>
      <c r="N587" s="29" t="e">
        <f>NA()</f>
        <v>#N/A</v>
      </c>
      <c r="O587" s="29" t="e">
        <v>#N/A</v>
      </c>
      <c r="P587" s="51" t="e">
        <f t="shared" si="45"/>
        <v>#N/A</v>
      </c>
      <c r="Q587" s="29">
        <f>12.9</f>
        <v>12.9</v>
      </c>
      <c r="R587" s="43">
        <v>5.5</v>
      </c>
      <c r="S587" s="32">
        <f t="shared" si="48"/>
        <v>0.14583333333333337</v>
      </c>
      <c r="T587" s="54" t="e">
        <f>VLOOKUP(A587,[1]인포맥스!$A:$I,9,0)</f>
        <v>#N/A</v>
      </c>
      <c r="U587" s="70" t="e">
        <f t="shared" si="49"/>
        <v>#N/A</v>
      </c>
    </row>
    <row r="588" spans="1:21" x14ac:dyDescent="0.25">
      <c r="A588" s="3">
        <v>26542</v>
      </c>
      <c r="B588" s="29" t="e">
        <f>NA()</f>
        <v>#N/A</v>
      </c>
      <c r="C588" s="29" t="e">
        <v>#N/A</v>
      </c>
      <c r="D588" s="50">
        <f>61.7</f>
        <v>61.7</v>
      </c>
      <c r="E588" s="30">
        <v>61.7</v>
      </c>
      <c r="F588" s="29">
        <f>77.7</f>
        <v>77.7</v>
      </c>
      <c r="G588" s="31" t="e">
        <v>#N/A</v>
      </c>
      <c r="H588" s="51" t="e">
        <f t="shared" si="46"/>
        <v>#N/A</v>
      </c>
      <c r="I588" s="29">
        <f>16.5</f>
        <v>16.5</v>
      </c>
      <c r="J588" s="31">
        <v>9.52</v>
      </c>
      <c r="K588" s="51">
        <f t="shared" si="47"/>
        <v>0.16523867809057524</v>
      </c>
      <c r="L588" s="29">
        <f>14.6</f>
        <v>14.6</v>
      </c>
      <c r="M588" s="30">
        <v>14.6</v>
      </c>
      <c r="N588" s="29" t="e">
        <f>NA()</f>
        <v>#N/A</v>
      </c>
      <c r="O588" s="29" t="e">
        <v>#N/A</v>
      </c>
      <c r="P588" s="51" t="e">
        <f t="shared" si="45"/>
        <v>#N/A</v>
      </c>
      <c r="Q588" s="29">
        <f>10.7</f>
        <v>10.7</v>
      </c>
      <c r="R588" s="43">
        <v>5.4</v>
      </c>
      <c r="S588" s="32">
        <f t="shared" si="48"/>
        <v>0.1020408163265306</v>
      </c>
      <c r="T588" s="54" t="e">
        <f>VLOOKUP(A588,[1]인포맥스!$A:$I,9,0)</f>
        <v>#N/A</v>
      </c>
      <c r="U588" s="70" t="e">
        <f t="shared" si="49"/>
        <v>#N/A</v>
      </c>
    </row>
    <row r="589" spans="1:21" x14ac:dyDescent="0.25">
      <c r="A589" s="3">
        <v>26511</v>
      </c>
      <c r="B589" s="29" t="e">
        <f>NA()</f>
        <v>#N/A</v>
      </c>
      <c r="C589" s="29" t="e">
        <v>#N/A</v>
      </c>
      <c r="D589" s="50">
        <f>60.1</f>
        <v>60.1</v>
      </c>
      <c r="E589" s="30">
        <v>60.1</v>
      </c>
      <c r="F589" s="29">
        <f>45.1</f>
        <v>45.1</v>
      </c>
      <c r="G589" s="31" t="e">
        <v>#N/A</v>
      </c>
      <c r="H589" s="51" t="e">
        <f t="shared" si="46"/>
        <v>#N/A</v>
      </c>
      <c r="I589" s="29">
        <f>16.7</f>
        <v>16.7</v>
      </c>
      <c r="J589" s="31">
        <v>9.4499999999999993</v>
      </c>
      <c r="K589" s="51">
        <f t="shared" si="47"/>
        <v>0.16666666666666663</v>
      </c>
      <c r="L589" s="29">
        <f>13.9</f>
        <v>13.9</v>
      </c>
      <c r="M589" s="30">
        <v>13.9</v>
      </c>
      <c r="N589" s="29" t="e">
        <f>NA()</f>
        <v>#N/A</v>
      </c>
      <c r="O589" s="29" t="e">
        <v>#N/A</v>
      </c>
      <c r="P589" s="51" t="e">
        <f t="shared" si="45"/>
        <v>#N/A</v>
      </c>
      <c r="Q589" s="29">
        <f>9.4</f>
        <v>9.4</v>
      </c>
      <c r="R589" s="43">
        <v>5.3</v>
      </c>
      <c r="S589" s="32">
        <f t="shared" si="48"/>
        <v>0.10416666666666667</v>
      </c>
      <c r="T589" s="54" t="e">
        <f>VLOOKUP(A589,[1]인포맥스!$A:$I,9,0)</f>
        <v>#N/A</v>
      </c>
      <c r="U589" s="70" t="e">
        <f t="shared" si="49"/>
        <v>#N/A</v>
      </c>
    </row>
    <row r="590" spans="1:21" x14ac:dyDescent="0.25">
      <c r="A590" s="3">
        <v>26480</v>
      </c>
      <c r="B590" s="29" t="e">
        <f>NA()</f>
        <v>#N/A</v>
      </c>
      <c r="C590" s="29" t="e">
        <v>#N/A</v>
      </c>
      <c r="D590" s="50">
        <f>58.6</f>
        <v>58.6</v>
      </c>
      <c r="E590" s="30">
        <v>58.6</v>
      </c>
      <c r="F590" s="29">
        <f>40.2</f>
        <v>40.200000000000003</v>
      </c>
      <c r="G590" s="31" t="e">
        <v>#N/A</v>
      </c>
      <c r="H590" s="51" t="e">
        <f t="shared" si="46"/>
        <v>#N/A</v>
      </c>
      <c r="I590" s="29">
        <f>15.9</f>
        <v>15.9</v>
      </c>
      <c r="J590" s="31">
        <v>9.42</v>
      </c>
      <c r="K590" s="51">
        <f t="shared" si="47"/>
        <v>0.15867158671586704</v>
      </c>
      <c r="L590" s="29">
        <f>14.7</f>
        <v>14.7</v>
      </c>
      <c r="M590" s="30">
        <v>14.7</v>
      </c>
      <c r="N590" s="29" t="e">
        <f>NA()</f>
        <v>#N/A</v>
      </c>
      <c r="O590" s="29" t="e">
        <v>#N/A</v>
      </c>
      <c r="P590" s="51" t="e">
        <f t="shared" si="45"/>
        <v>#N/A</v>
      </c>
      <c r="Q590" s="29">
        <f>8.2</f>
        <v>8.1999999999999993</v>
      </c>
      <c r="R590" s="43">
        <v>5.2</v>
      </c>
      <c r="S590" s="32">
        <f t="shared" si="48"/>
        <v>8.3333333333333412E-2</v>
      </c>
      <c r="T590" s="54" t="e">
        <f>VLOOKUP(A590,[1]인포맥스!$A:$I,9,0)</f>
        <v>#N/A</v>
      </c>
      <c r="U590" s="70" t="e">
        <f t="shared" si="49"/>
        <v>#N/A</v>
      </c>
    </row>
    <row r="591" spans="1:21" x14ac:dyDescent="0.25">
      <c r="A591" s="3">
        <v>26450</v>
      </c>
      <c r="B591" s="29" t="e">
        <f>NA()</f>
        <v>#N/A</v>
      </c>
      <c r="C591" s="29" t="e">
        <v>#N/A</v>
      </c>
      <c r="D591" s="50">
        <f>61.4</f>
        <v>61.4</v>
      </c>
      <c r="E591" s="30">
        <v>61.4</v>
      </c>
      <c r="F591" s="29">
        <f>42.2</f>
        <v>42.2</v>
      </c>
      <c r="G591" s="31" t="e">
        <v>#N/A</v>
      </c>
      <c r="H591" s="51" t="e">
        <f t="shared" si="46"/>
        <v>#N/A</v>
      </c>
      <c r="I591" s="29">
        <f>17.5</f>
        <v>17.5</v>
      </c>
      <c r="J591" s="31">
        <v>9.39</v>
      </c>
      <c r="K591" s="51">
        <f t="shared" si="47"/>
        <v>0.1752190237797247</v>
      </c>
      <c r="L591" s="29">
        <f>13.8</f>
        <v>13.8</v>
      </c>
      <c r="M591" s="30">
        <v>13.8</v>
      </c>
      <c r="N591" s="29" t="e">
        <f>NA()</f>
        <v>#N/A</v>
      </c>
      <c r="O591" s="29" t="e">
        <v>#N/A</v>
      </c>
      <c r="P591" s="51" t="e">
        <f t="shared" si="45"/>
        <v>#N/A</v>
      </c>
      <c r="Q591" s="29">
        <f>7.7</f>
        <v>7.7</v>
      </c>
      <c r="R591" s="43">
        <v>5.0999999999999996</v>
      </c>
      <c r="S591" s="32">
        <f t="shared" si="48"/>
        <v>8.5106382978723291E-2</v>
      </c>
      <c r="T591" s="54" t="e">
        <f>VLOOKUP(A591,[1]인포맥스!$A:$I,9,0)</f>
        <v>#N/A</v>
      </c>
      <c r="U591" s="70" t="e">
        <f t="shared" si="49"/>
        <v>#N/A</v>
      </c>
    </row>
    <row r="592" spans="1:21" x14ac:dyDescent="0.25">
      <c r="A592" s="3">
        <v>26419</v>
      </c>
      <c r="B592" s="29" t="e">
        <f>NA()</f>
        <v>#N/A</v>
      </c>
      <c r="C592" s="29" t="e">
        <v>#N/A</v>
      </c>
      <c r="D592" s="50">
        <f>59.3</f>
        <v>59.3</v>
      </c>
      <c r="E592" s="30">
        <v>59.3</v>
      </c>
      <c r="F592" s="29">
        <f>42.4</f>
        <v>42.4</v>
      </c>
      <c r="G592" s="31" t="e">
        <v>#N/A</v>
      </c>
      <c r="H592" s="51" t="e">
        <f t="shared" si="46"/>
        <v>#N/A</v>
      </c>
      <c r="I592" s="29">
        <f>17.4</f>
        <v>17.399999999999999</v>
      </c>
      <c r="J592" s="31">
        <v>9.3000000000000007</v>
      </c>
      <c r="K592" s="51">
        <f t="shared" si="47"/>
        <v>0.17424242424242434</v>
      </c>
      <c r="L592" s="29">
        <f>11.4</f>
        <v>11.4</v>
      </c>
      <c r="M592" s="30">
        <v>11.4</v>
      </c>
      <c r="N592" s="29" t="e">
        <f>NA()</f>
        <v>#N/A</v>
      </c>
      <c r="O592" s="29" t="e">
        <v>#N/A</v>
      </c>
      <c r="P592" s="51" t="e">
        <f t="shared" si="45"/>
        <v>#N/A</v>
      </c>
      <c r="Q592" s="29">
        <f>6.7</f>
        <v>6.7</v>
      </c>
      <c r="R592" s="43">
        <v>5</v>
      </c>
      <c r="S592" s="32">
        <f t="shared" si="48"/>
        <v>6.3829787234042507E-2</v>
      </c>
      <c r="T592" s="54" t="e">
        <f>VLOOKUP(A592,[1]인포맥스!$A:$I,9,0)</f>
        <v>#N/A</v>
      </c>
      <c r="U592" s="70" t="e">
        <f t="shared" si="49"/>
        <v>#N/A</v>
      </c>
    </row>
    <row r="593" spans="1:21" x14ac:dyDescent="0.25">
      <c r="A593" s="3">
        <v>26389</v>
      </c>
      <c r="B593" s="29" t="e">
        <f>NA()</f>
        <v>#N/A</v>
      </c>
      <c r="C593" s="29" t="e">
        <v>#N/A</v>
      </c>
      <c r="D593" s="50">
        <f>59.8</f>
        <v>59.8</v>
      </c>
      <c r="E593" s="30">
        <v>59.8</v>
      </c>
      <c r="F593" s="29">
        <f>30.3</f>
        <v>30.3</v>
      </c>
      <c r="G593" s="31" t="e">
        <v>#N/A</v>
      </c>
      <c r="H593" s="51" t="e">
        <f t="shared" si="46"/>
        <v>#N/A</v>
      </c>
      <c r="I593" s="29">
        <f>17.3</f>
        <v>17.3</v>
      </c>
      <c r="J593" s="31">
        <v>9.24</v>
      </c>
      <c r="K593" s="51">
        <f t="shared" si="47"/>
        <v>0.17258883248730969</v>
      </c>
      <c r="L593" s="29">
        <f>10.2</f>
        <v>10.199999999999999</v>
      </c>
      <c r="M593" s="30">
        <v>10.199999999999999</v>
      </c>
      <c r="N593" s="29" t="e">
        <f>NA()</f>
        <v>#N/A</v>
      </c>
      <c r="O593" s="29" t="e">
        <v>#N/A</v>
      </c>
      <c r="P593" s="51" t="e">
        <f t="shared" si="45"/>
        <v>#N/A</v>
      </c>
      <c r="Q593" s="29">
        <f>6.4</f>
        <v>6.4</v>
      </c>
      <c r="R593" s="43">
        <v>5</v>
      </c>
      <c r="S593" s="32">
        <f t="shared" si="48"/>
        <v>6.3829787234042507E-2</v>
      </c>
      <c r="T593" s="54" t="e">
        <f>VLOOKUP(A593,[1]인포맥스!$A:$I,9,0)</f>
        <v>#N/A</v>
      </c>
      <c r="U593" s="70" t="e">
        <f t="shared" si="49"/>
        <v>#N/A</v>
      </c>
    </row>
    <row r="594" spans="1:21" x14ac:dyDescent="0.25">
      <c r="A594" s="3">
        <v>26358</v>
      </c>
      <c r="B594" s="29" t="e">
        <f>NA()</f>
        <v>#N/A</v>
      </c>
      <c r="C594" s="29" t="e">
        <v>#N/A</v>
      </c>
      <c r="D594" s="50">
        <f>60.6</f>
        <v>60.6</v>
      </c>
      <c r="E594" s="30">
        <v>60.6</v>
      </c>
      <c r="F594" s="29">
        <f>70.7</f>
        <v>70.7</v>
      </c>
      <c r="G594" s="31" t="e">
        <v>#N/A</v>
      </c>
      <c r="H594" s="51" t="e">
        <f t="shared" si="46"/>
        <v>#N/A</v>
      </c>
      <c r="I594" s="29">
        <f>15.4</f>
        <v>15.4</v>
      </c>
      <c r="J594" s="31">
        <v>9.07</v>
      </c>
      <c r="K594" s="51">
        <f t="shared" si="47"/>
        <v>0.15394402035623408</v>
      </c>
      <c r="L594" s="29">
        <f>9.2</f>
        <v>9.1999999999999993</v>
      </c>
      <c r="M594" s="30">
        <v>9.1999999999999993</v>
      </c>
      <c r="N594" s="29" t="e">
        <f>NA()</f>
        <v>#N/A</v>
      </c>
      <c r="O594" s="29" t="e">
        <v>#N/A</v>
      </c>
      <c r="P594" s="51" t="e">
        <f t="shared" si="45"/>
        <v>#N/A</v>
      </c>
      <c r="Q594" s="29">
        <f>6.1</f>
        <v>6.1</v>
      </c>
      <c r="R594" s="43">
        <v>4.9000000000000004</v>
      </c>
      <c r="S594" s="32">
        <f t="shared" si="48"/>
        <v>6.5217391304347991E-2</v>
      </c>
      <c r="T594" s="54" t="e">
        <f>VLOOKUP(A594,[1]인포맥스!$A:$I,9,0)</f>
        <v>#N/A</v>
      </c>
      <c r="U594" s="70" t="e">
        <f t="shared" si="49"/>
        <v>#N/A</v>
      </c>
    </row>
    <row r="595" spans="1:21" x14ac:dyDescent="0.25">
      <c r="A595" s="3">
        <v>26329</v>
      </c>
      <c r="B595" s="29" t="e">
        <f>NA()</f>
        <v>#N/A</v>
      </c>
      <c r="C595" s="29" t="e">
        <v>#N/A</v>
      </c>
      <c r="D595" s="50">
        <f>59.6</f>
        <v>59.6</v>
      </c>
      <c r="E595" s="30">
        <v>59.6</v>
      </c>
      <c r="F595" s="29">
        <f>25.6</f>
        <v>25.6</v>
      </c>
      <c r="G595" s="31" t="e">
        <v>#N/A</v>
      </c>
      <c r="H595" s="51" t="e">
        <f t="shared" si="46"/>
        <v>#N/A</v>
      </c>
      <c r="I595" s="29">
        <f>13.3</f>
        <v>13.3</v>
      </c>
      <c r="J595" s="31">
        <v>8.86</v>
      </c>
      <c r="K595" s="51">
        <f t="shared" si="47"/>
        <v>0.13299232736572877</v>
      </c>
      <c r="L595" s="29">
        <f>7.9</f>
        <v>7.9</v>
      </c>
      <c r="M595" s="30">
        <v>7.9</v>
      </c>
      <c r="N595" s="29" t="e">
        <f>NA()</f>
        <v>#N/A</v>
      </c>
      <c r="O595" s="29" t="e">
        <v>#N/A</v>
      </c>
      <c r="P595" s="51" t="e">
        <f t="shared" si="45"/>
        <v>#N/A</v>
      </c>
      <c r="Q595" s="29">
        <f>6.3</f>
        <v>6.3</v>
      </c>
      <c r="R595" s="43">
        <v>4.9000000000000004</v>
      </c>
      <c r="S595" s="32">
        <f t="shared" si="48"/>
        <v>6.5217391304347991E-2</v>
      </c>
      <c r="T595" s="54" t="e">
        <f>VLOOKUP(A595,[1]인포맥스!$A:$I,9,0)</f>
        <v>#N/A</v>
      </c>
      <c r="U595" s="70" t="e">
        <f t="shared" si="49"/>
        <v>#N/A</v>
      </c>
    </row>
    <row r="596" spans="1:21" x14ac:dyDescent="0.25">
      <c r="A596" s="3">
        <v>26298</v>
      </c>
      <c r="B596" s="29" t="e">
        <f>NA()</f>
        <v>#N/A</v>
      </c>
      <c r="C596" s="29" t="e">
        <v>#N/A</v>
      </c>
      <c r="D596" s="50">
        <f>57.6</f>
        <v>57.6</v>
      </c>
      <c r="E596" s="30">
        <v>57.6</v>
      </c>
      <c r="F596" s="29">
        <f>25.3</f>
        <v>25.3</v>
      </c>
      <c r="G596" s="31" t="e">
        <v>#N/A</v>
      </c>
      <c r="H596" s="51" t="e">
        <f t="shared" si="46"/>
        <v>#N/A</v>
      </c>
      <c r="I596" s="29">
        <f>13</f>
        <v>13</v>
      </c>
      <c r="J596" s="31">
        <v>8.7899999999999991</v>
      </c>
      <c r="K596" s="51">
        <f t="shared" si="47"/>
        <v>0.12982005141388162</v>
      </c>
      <c r="L596" s="29">
        <f>9.1</f>
        <v>9.1</v>
      </c>
      <c r="M596" s="30">
        <v>9.1</v>
      </c>
      <c r="N596" s="29" t="e">
        <f>NA()</f>
        <v>#N/A</v>
      </c>
      <c r="O596" s="29" t="e">
        <v>#N/A</v>
      </c>
      <c r="P596" s="51" t="e">
        <f t="shared" si="45"/>
        <v>#N/A</v>
      </c>
      <c r="Q596" s="29">
        <f>7</f>
        <v>7</v>
      </c>
      <c r="R596" s="43">
        <v>4.9000000000000004</v>
      </c>
      <c r="S596" s="32">
        <f t="shared" si="48"/>
        <v>6.5217391304347991E-2</v>
      </c>
      <c r="T596" s="54" t="e">
        <f>VLOOKUP(A596,[1]인포맥스!$A:$I,9,0)</f>
        <v>#N/A</v>
      </c>
      <c r="U596" s="70" t="e">
        <f t="shared" si="49"/>
        <v>#N/A</v>
      </c>
    </row>
    <row r="597" spans="1:21" x14ac:dyDescent="0.25">
      <c r="A597" s="3">
        <v>26267</v>
      </c>
      <c r="B597" s="29" t="e">
        <f>NA()</f>
        <v>#N/A</v>
      </c>
      <c r="C597" s="29" t="e">
        <v>#N/A</v>
      </c>
      <c r="D597" s="50">
        <f>52.3</f>
        <v>52.3</v>
      </c>
      <c r="E597" s="30">
        <v>52.3</v>
      </c>
      <c r="F597" s="29">
        <f>58.3</f>
        <v>58.3</v>
      </c>
      <c r="G597" s="31" t="e">
        <v>#N/A</v>
      </c>
      <c r="H597" s="51" t="e">
        <f t="shared" si="46"/>
        <v>#N/A</v>
      </c>
      <c r="I597" s="29">
        <f>12.7</f>
        <v>12.7</v>
      </c>
      <c r="J597" s="31">
        <v>8.7100000000000009</v>
      </c>
      <c r="K597" s="51">
        <f t="shared" si="47"/>
        <v>0.1267787839586029</v>
      </c>
      <c r="L597" s="29">
        <f>11.8</f>
        <v>11.8</v>
      </c>
      <c r="M597" s="30">
        <v>11.8</v>
      </c>
      <c r="N597" s="29" t="e">
        <f>NA()</f>
        <v>#N/A</v>
      </c>
      <c r="O597" s="29" t="e">
        <v>#N/A</v>
      </c>
      <c r="P597" s="51" t="e">
        <f t="shared" si="45"/>
        <v>#N/A</v>
      </c>
      <c r="Q597" s="29">
        <f>7.4</f>
        <v>7.4</v>
      </c>
      <c r="R597" s="43">
        <v>4.9000000000000004</v>
      </c>
      <c r="S597" s="32">
        <f t="shared" si="48"/>
        <v>8.8888888888888962E-2</v>
      </c>
      <c r="T597" s="54" t="e">
        <f>VLOOKUP(A597,[1]인포맥스!$A:$I,9,0)</f>
        <v>#N/A</v>
      </c>
      <c r="U597" s="70" t="e">
        <f t="shared" si="49"/>
        <v>#N/A</v>
      </c>
    </row>
    <row r="598" spans="1:21" x14ac:dyDescent="0.25">
      <c r="A598" s="3">
        <v>26237</v>
      </c>
      <c r="B598" s="29" t="e">
        <f>NA()</f>
        <v>#N/A</v>
      </c>
      <c r="C598" s="29" t="e">
        <v>#N/A</v>
      </c>
      <c r="D598" s="50">
        <f>55</f>
        <v>55</v>
      </c>
      <c r="E598" s="30">
        <v>55</v>
      </c>
      <c r="F598" s="29">
        <f>24.2</f>
        <v>24.2</v>
      </c>
      <c r="G598" s="31" t="e">
        <v>#N/A</v>
      </c>
      <c r="H598" s="51" t="e">
        <f t="shared" si="46"/>
        <v>#N/A</v>
      </c>
      <c r="I598" s="29">
        <f>12.7</f>
        <v>12.7</v>
      </c>
      <c r="J598" s="31">
        <v>8.6199999999999992</v>
      </c>
      <c r="K598" s="51">
        <f t="shared" si="47"/>
        <v>0.12679738562091489</v>
      </c>
      <c r="L598" s="29">
        <f>11.4</f>
        <v>11.4</v>
      </c>
      <c r="M598" s="30">
        <v>11.4</v>
      </c>
      <c r="N598" s="29" t="e">
        <f>NA()</f>
        <v>#N/A</v>
      </c>
      <c r="O598" s="29" t="e">
        <v>#N/A</v>
      </c>
      <c r="P598" s="51" t="e">
        <f t="shared" si="45"/>
        <v>#N/A</v>
      </c>
      <c r="Q598" s="29">
        <f>7.8</f>
        <v>7.8</v>
      </c>
      <c r="R598" s="43">
        <v>4.9000000000000004</v>
      </c>
      <c r="S598" s="32">
        <f t="shared" si="48"/>
        <v>8.8888888888888962E-2</v>
      </c>
      <c r="T598" s="54" t="e">
        <f>VLOOKUP(A598,[1]인포맥스!$A:$I,9,0)</f>
        <v>#N/A</v>
      </c>
      <c r="U598" s="70" t="e">
        <f t="shared" si="49"/>
        <v>#N/A</v>
      </c>
    </row>
    <row r="599" spans="1:21" x14ac:dyDescent="0.25">
      <c r="A599" s="3">
        <v>26206</v>
      </c>
      <c r="B599" s="29" t="e">
        <f>NA()</f>
        <v>#N/A</v>
      </c>
      <c r="C599" s="29" t="e">
        <v>#N/A</v>
      </c>
      <c r="D599" s="50">
        <f>55.1</f>
        <v>55.1</v>
      </c>
      <c r="E599" s="30">
        <v>55.1</v>
      </c>
      <c r="F599" s="29">
        <f>36.4</f>
        <v>36.4</v>
      </c>
      <c r="G599" s="31" t="e">
        <v>#N/A</v>
      </c>
      <c r="H599" s="51" t="e">
        <f t="shared" si="46"/>
        <v>#N/A</v>
      </c>
      <c r="I599" s="29">
        <f>10.6</f>
        <v>10.6</v>
      </c>
      <c r="J599" s="31">
        <v>8.4600000000000009</v>
      </c>
      <c r="K599" s="51">
        <f t="shared" si="47"/>
        <v>0.10588235294117652</v>
      </c>
      <c r="L599" s="29">
        <f>14.5</f>
        <v>14.5</v>
      </c>
      <c r="M599" s="30">
        <v>14.5</v>
      </c>
      <c r="N599" s="29" t="e">
        <f>NA()</f>
        <v>#N/A</v>
      </c>
      <c r="O599" s="29" t="e">
        <v>#N/A</v>
      </c>
      <c r="P599" s="51" t="e">
        <f t="shared" si="45"/>
        <v>#N/A</v>
      </c>
      <c r="Q599" s="29">
        <f>8</f>
        <v>8</v>
      </c>
      <c r="R599" s="43">
        <v>4.8</v>
      </c>
      <c r="S599" s="32">
        <f t="shared" si="48"/>
        <v>6.6666666666666624E-2</v>
      </c>
      <c r="T599" s="54" t="e">
        <f>VLOOKUP(A599,[1]인포맥스!$A:$I,9,0)</f>
        <v>#N/A</v>
      </c>
      <c r="U599" s="70" t="e">
        <f t="shared" si="49"/>
        <v>#N/A</v>
      </c>
    </row>
    <row r="600" spans="1:21" x14ac:dyDescent="0.25">
      <c r="A600" s="3">
        <v>26176</v>
      </c>
      <c r="B600" s="29" t="e">
        <f>NA()</f>
        <v>#N/A</v>
      </c>
      <c r="C600" s="29" t="e">
        <v>#N/A</v>
      </c>
      <c r="D600" s="50">
        <f>53.6</f>
        <v>53.6</v>
      </c>
      <c r="E600" s="30">
        <v>53.6</v>
      </c>
      <c r="F600" s="29">
        <f>17.8</f>
        <v>17.8</v>
      </c>
      <c r="G600" s="31" t="e">
        <v>#N/A</v>
      </c>
      <c r="H600" s="51" t="e">
        <f t="shared" si="46"/>
        <v>#N/A</v>
      </c>
      <c r="I600" s="29">
        <f>7.8</f>
        <v>7.8</v>
      </c>
      <c r="J600" s="31">
        <v>8.17</v>
      </c>
      <c r="K600" s="51">
        <f t="shared" si="47"/>
        <v>7.7836411609498668E-2</v>
      </c>
      <c r="L600" s="29">
        <f>15.4</f>
        <v>15.4</v>
      </c>
      <c r="M600" s="30">
        <v>15.4</v>
      </c>
      <c r="N600" s="29" t="e">
        <f>NA()</f>
        <v>#N/A</v>
      </c>
      <c r="O600" s="29" t="e">
        <v>#N/A</v>
      </c>
      <c r="P600" s="51" t="e">
        <f t="shared" si="45"/>
        <v>#N/A</v>
      </c>
      <c r="Q600" s="29">
        <f>9</f>
        <v>9</v>
      </c>
      <c r="R600" s="43">
        <v>4.9000000000000004</v>
      </c>
      <c r="S600" s="32">
        <f t="shared" si="48"/>
        <v>0.11363636363636363</v>
      </c>
      <c r="T600" s="54" t="e">
        <f>VLOOKUP(A600,[1]인포맥스!$A:$I,9,0)</f>
        <v>#N/A</v>
      </c>
      <c r="U600" s="70" t="e">
        <f t="shared" si="49"/>
        <v>#N/A</v>
      </c>
    </row>
    <row r="601" spans="1:21" x14ac:dyDescent="0.25">
      <c r="A601" s="3">
        <v>26145</v>
      </c>
      <c r="B601" s="29" t="e">
        <f>NA()</f>
        <v>#N/A</v>
      </c>
      <c r="C601" s="29" t="e">
        <v>#N/A</v>
      </c>
      <c r="D601" s="50">
        <f>54.4</f>
        <v>54.4</v>
      </c>
      <c r="E601" s="30">
        <v>54.4</v>
      </c>
      <c r="F601" s="29">
        <f>20.5</f>
        <v>20.5</v>
      </c>
      <c r="G601" s="31" t="e">
        <v>#N/A</v>
      </c>
      <c r="H601" s="51" t="e">
        <f t="shared" si="46"/>
        <v>#N/A</v>
      </c>
      <c r="I601" s="29">
        <f>7.1</f>
        <v>7.1</v>
      </c>
      <c r="J601" s="31">
        <v>8.1</v>
      </c>
      <c r="K601" s="51">
        <f t="shared" si="47"/>
        <v>7.1428571428571438E-2</v>
      </c>
      <c r="L601" s="29">
        <f>15.1</f>
        <v>15.1</v>
      </c>
      <c r="M601" s="30">
        <v>15.1</v>
      </c>
      <c r="N601" s="29" t="e">
        <f>NA()</f>
        <v>#N/A</v>
      </c>
      <c r="O601" s="29" t="e">
        <v>#N/A</v>
      </c>
      <c r="P601" s="51" t="e">
        <f t="shared" si="45"/>
        <v>#N/A</v>
      </c>
      <c r="Q601" s="29">
        <f>9.1</f>
        <v>9.1</v>
      </c>
      <c r="R601" s="43">
        <v>4.8</v>
      </c>
      <c r="S601" s="32">
        <f t="shared" si="48"/>
        <v>9.0909090909090787E-2</v>
      </c>
      <c r="T601" s="54" t="e">
        <f>VLOOKUP(A601,[1]인포맥스!$A:$I,9,0)</f>
        <v>#N/A</v>
      </c>
      <c r="U601" s="70" t="e">
        <f t="shared" si="49"/>
        <v>#N/A</v>
      </c>
    </row>
    <row r="602" spans="1:21" x14ac:dyDescent="0.25">
      <c r="A602" s="3">
        <v>26114</v>
      </c>
      <c r="B602" s="29" t="e">
        <f>NA()</f>
        <v>#N/A</v>
      </c>
      <c r="C602" s="29" t="e">
        <v>#N/A</v>
      </c>
      <c r="D602" s="50">
        <f>53.8</f>
        <v>53.8</v>
      </c>
      <c r="E602" s="30">
        <v>53.8</v>
      </c>
      <c r="F602" s="29">
        <f>37.2</f>
        <v>37.200000000000003</v>
      </c>
      <c r="G602" s="31" t="e">
        <v>#N/A</v>
      </c>
      <c r="H602" s="51" t="e">
        <f t="shared" si="46"/>
        <v>#N/A</v>
      </c>
      <c r="I602" s="29">
        <f>7.7</f>
        <v>7.7</v>
      </c>
      <c r="J602" s="31">
        <v>8.1300000000000008</v>
      </c>
      <c r="K602" s="51">
        <f t="shared" si="47"/>
        <v>7.6821192052980256E-2</v>
      </c>
      <c r="L602" s="29">
        <f>13.9</f>
        <v>13.9</v>
      </c>
      <c r="M602" s="30">
        <v>13.9</v>
      </c>
      <c r="N602" s="29" t="e">
        <f>NA()</f>
        <v>#N/A</v>
      </c>
      <c r="O602" s="29" t="e">
        <v>#N/A</v>
      </c>
      <c r="P602" s="51" t="e">
        <f t="shared" si="45"/>
        <v>#N/A</v>
      </c>
      <c r="Q602" s="29">
        <f>9.3</f>
        <v>9.3000000000000007</v>
      </c>
      <c r="R602" s="43">
        <v>4.8</v>
      </c>
      <c r="S602" s="32">
        <f t="shared" si="48"/>
        <v>9.0909090909090787E-2</v>
      </c>
      <c r="T602" s="54" t="e">
        <f>VLOOKUP(A602,[1]인포맥스!$A:$I,9,0)</f>
        <v>#N/A</v>
      </c>
      <c r="U602" s="70" t="e">
        <f t="shared" si="49"/>
        <v>#N/A</v>
      </c>
    </row>
    <row r="603" spans="1:21" x14ac:dyDescent="0.25">
      <c r="A603" s="3">
        <v>26084</v>
      </c>
      <c r="B603" s="29" t="e">
        <f>NA()</f>
        <v>#N/A</v>
      </c>
      <c r="C603" s="29" t="e">
        <v>#N/A</v>
      </c>
      <c r="D603" s="50">
        <f>54.2</f>
        <v>54.2</v>
      </c>
      <c r="E603" s="30">
        <v>54.2</v>
      </c>
      <c r="F603" s="29">
        <f>31</f>
        <v>31</v>
      </c>
      <c r="G603" s="31" t="e">
        <v>#N/A</v>
      </c>
      <c r="H603" s="51" t="e">
        <f t="shared" si="46"/>
        <v>#N/A</v>
      </c>
      <c r="I603" s="29">
        <f>5.8</f>
        <v>5.8</v>
      </c>
      <c r="J603" s="31">
        <v>7.99</v>
      </c>
      <c r="K603" s="51">
        <f t="shared" si="47"/>
        <v>5.827814569536429E-2</v>
      </c>
      <c r="L603" s="29">
        <f>11.7</f>
        <v>11.7</v>
      </c>
      <c r="M603" s="30">
        <v>11.7</v>
      </c>
      <c r="N603" s="29" t="e">
        <f>NA()</f>
        <v>#N/A</v>
      </c>
      <c r="O603" s="29" t="e">
        <v>#N/A</v>
      </c>
      <c r="P603" s="51" t="e">
        <f t="shared" si="45"/>
        <v>#N/A</v>
      </c>
      <c r="Q603" s="29">
        <f>0</f>
        <v>0</v>
      </c>
      <c r="R603" s="43">
        <v>4.7</v>
      </c>
      <c r="S603" s="32">
        <f t="shared" si="48"/>
        <v>9.302325581395357E-2</v>
      </c>
      <c r="T603" s="54" t="e">
        <f>VLOOKUP(A603,[1]인포맥스!$A:$I,9,0)</f>
        <v>#N/A</v>
      </c>
      <c r="U603" s="70" t="e">
        <f t="shared" si="49"/>
        <v>#N/A</v>
      </c>
    </row>
    <row r="604" spans="1:21" x14ac:dyDescent="0.25">
      <c r="A604" s="3">
        <v>26053</v>
      </c>
      <c r="B604" s="29" t="e">
        <f>NA()</f>
        <v>#N/A</v>
      </c>
      <c r="C604" s="29" t="e">
        <v>#N/A</v>
      </c>
      <c r="D604" s="50">
        <f>54.5</f>
        <v>54.5</v>
      </c>
      <c r="E604" s="30">
        <v>54.5</v>
      </c>
      <c r="F604" s="29">
        <f>19.8</f>
        <v>19.8</v>
      </c>
      <c r="G604" s="31" t="e">
        <v>#N/A</v>
      </c>
      <c r="H604" s="51" t="e">
        <f t="shared" si="46"/>
        <v>#N/A</v>
      </c>
      <c r="I604" s="29">
        <f>5.3</f>
        <v>5.3</v>
      </c>
      <c r="J604" s="31">
        <v>7.92</v>
      </c>
      <c r="K604" s="51">
        <f t="shared" si="47"/>
        <v>5.3191489361702177E-2</v>
      </c>
      <c r="L604" s="29">
        <f>12.6</f>
        <v>12.6</v>
      </c>
      <c r="M604" s="30">
        <v>12.6</v>
      </c>
      <c r="N604" s="29" t="e">
        <f>NA()</f>
        <v>#N/A</v>
      </c>
      <c r="O604" s="29" t="e">
        <v>#N/A</v>
      </c>
      <c r="P604" s="51" t="e">
        <f t="shared" si="45"/>
        <v>#N/A</v>
      </c>
      <c r="Q604" s="29">
        <f>0</f>
        <v>0</v>
      </c>
      <c r="R604" s="43">
        <v>4.7</v>
      </c>
      <c r="S604" s="32">
        <f t="shared" si="48"/>
        <v>9.302325581395357E-2</v>
      </c>
      <c r="T604" s="54" t="e">
        <f>VLOOKUP(A604,[1]인포맥스!$A:$I,9,0)</f>
        <v>#N/A</v>
      </c>
      <c r="U604" s="70" t="e">
        <f t="shared" si="49"/>
        <v>#N/A</v>
      </c>
    </row>
    <row r="605" spans="1:21" x14ac:dyDescent="0.25">
      <c r="A605" s="3">
        <v>26023</v>
      </c>
      <c r="B605" s="29" t="e">
        <f>NA()</f>
        <v>#N/A</v>
      </c>
      <c r="C605" s="29" t="e">
        <v>#N/A</v>
      </c>
      <c r="D605" s="50">
        <f>51.2</f>
        <v>51.2</v>
      </c>
      <c r="E605" s="30">
        <v>51.2</v>
      </c>
      <c r="F605" s="29">
        <f>18.7</f>
        <v>18.7</v>
      </c>
      <c r="G605" s="31" t="e">
        <v>#N/A</v>
      </c>
      <c r="H605" s="51" t="e">
        <f t="shared" si="46"/>
        <v>#N/A</v>
      </c>
      <c r="I605" s="29">
        <f>6.1</f>
        <v>6.1</v>
      </c>
      <c r="J605" s="31">
        <v>7.88</v>
      </c>
      <c r="K605" s="51">
        <f t="shared" si="47"/>
        <v>6.0565275908479162E-2</v>
      </c>
      <c r="L605" s="29">
        <f>15.5</f>
        <v>15.5</v>
      </c>
      <c r="M605" s="30">
        <v>15.5</v>
      </c>
      <c r="N605" s="29" t="e">
        <f>NA()</f>
        <v>#N/A</v>
      </c>
      <c r="O605" s="29" t="e">
        <v>#N/A</v>
      </c>
      <c r="P605" s="51" t="e">
        <f t="shared" si="45"/>
        <v>#N/A</v>
      </c>
      <c r="Q605" s="29">
        <f>0</f>
        <v>0</v>
      </c>
      <c r="R605" s="43">
        <v>4.7</v>
      </c>
      <c r="S605" s="32">
        <f t="shared" si="48"/>
        <v>9.302325581395357E-2</v>
      </c>
      <c r="T605" s="54" t="e">
        <f>VLOOKUP(A605,[1]인포맥스!$A:$I,9,0)</f>
        <v>#N/A</v>
      </c>
      <c r="U605" s="70" t="e">
        <f t="shared" si="49"/>
        <v>#N/A</v>
      </c>
    </row>
    <row r="606" spans="1:21" x14ac:dyDescent="0.25">
      <c r="A606" s="3">
        <v>25992</v>
      </c>
      <c r="B606" s="29" t="e">
        <f>NA()</f>
        <v>#N/A</v>
      </c>
      <c r="C606" s="29" t="e">
        <v>#N/A</v>
      </c>
      <c r="D606" s="50">
        <f>54.8</f>
        <v>54.8</v>
      </c>
      <c r="E606" s="30">
        <v>54.8</v>
      </c>
      <c r="F606" s="29">
        <f>26</f>
        <v>26</v>
      </c>
      <c r="G606" s="31" t="e">
        <v>#N/A</v>
      </c>
      <c r="H606" s="51" t="e">
        <f t="shared" si="46"/>
        <v>#N/A</v>
      </c>
      <c r="I606" s="29">
        <f>6.8</f>
        <v>6.8</v>
      </c>
      <c r="J606" s="31">
        <v>7.86</v>
      </c>
      <c r="K606" s="51">
        <f t="shared" si="47"/>
        <v>6.7934782608695649E-2</v>
      </c>
      <c r="L606" s="29">
        <f>15.9</f>
        <v>15.9</v>
      </c>
      <c r="M606" s="30">
        <v>15.9</v>
      </c>
      <c r="N606" s="29" t="e">
        <f>NA()</f>
        <v>#N/A</v>
      </c>
      <c r="O606" s="29" t="e">
        <v>#N/A</v>
      </c>
      <c r="P606" s="51" t="e">
        <f t="shared" si="45"/>
        <v>#N/A</v>
      </c>
      <c r="Q606" s="29">
        <f>0</f>
        <v>0</v>
      </c>
      <c r="R606" s="43">
        <v>4.5999999999999996</v>
      </c>
      <c r="S606" s="32">
        <f t="shared" si="48"/>
        <v>9.5238095238095108E-2</v>
      </c>
      <c r="T606" s="54" t="e">
        <f>VLOOKUP(A606,[1]인포맥스!$A:$I,9,0)</f>
        <v>#N/A</v>
      </c>
      <c r="U606" s="70" t="e">
        <f t="shared" si="49"/>
        <v>#N/A</v>
      </c>
    </row>
    <row r="607" spans="1:21" x14ac:dyDescent="0.25">
      <c r="A607" s="3">
        <v>25964</v>
      </c>
      <c r="B607" s="29" t="e">
        <f>NA()</f>
        <v>#N/A</v>
      </c>
      <c r="C607" s="29" t="e">
        <v>#N/A</v>
      </c>
      <c r="D607" s="50">
        <f>47.9</f>
        <v>47.9</v>
      </c>
      <c r="E607" s="30">
        <v>47.9</v>
      </c>
      <c r="F607" s="29">
        <f>19.8</f>
        <v>19.8</v>
      </c>
      <c r="G607" s="31" t="e">
        <v>#N/A</v>
      </c>
      <c r="H607" s="51" t="e">
        <f t="shared" si="46"/>
        <v>#N/A</v>
      </c>
      <c r="I607" s="29">
        <f>7.3</f>
        <v>7.3</v>
      </c>
      <c r="J607" s="31">
        <v>7.82</v>
      </c>
      <c r="K607" s="51">
        <f t="shared" si="47"/>
        <v>7.270233196159126E-2</v>
      </c>
      <c r="L607" s="29">
        <f>15.9</f>
        <v>15.9</v>
      </c>
      <c r="M607" s="30">
        <v>15.9</v>
      </c>
      <c r="N607" s="29" t="e">
        <f>NA()</f>
        <v>#N/A</v>
      </c>
      <c r="O607" s="29" t="e">
        <v>#N/A</v>
      </c>
      <c r="P607" s="51" t="e">
        <f t="shared" si="45"/>
        <v>#N/A</v>
      </c>
      <c r="Q607" s="29">
        <f>0</f>
        <v>0</v>
      </c>
      <c r="R607" s="43">
        <v>4.5999999999999996</v>
      </c>
      <c r="S607" s="32">
        <f t="shared" si="48"/>
        <v>9.5238095238095108E-2</v>
      </c>
      <c r="T607" s="54" t="e">
        <f>VLOOKUP(A607,[1]인포맥스!$A:$I,9,0)</f>
        <v>#N/A</v>
      </c>
      <c r="U607" s="70" t="e">
        <f t="shared" si="49"/>
        <v>#N/A</v>
      </c>
    </row>
    <row r="608" spans="1:21" x14ac:dyDescent="0.25">
      <c r="A608" s="3">
        <v>25933</v>
      </c>
      <c r="B608" s="29" t="e">
        <f>NA()</f>
        <v>#N/A</v>
      </c>
      <c r="C608" s="29" t="e">
        <v>#N/A</v>
      </c>
      <c r="D608" s="50">
        <f>45.4</f>
        <v>45.4</v>
      </c>
      <c r="E608" s="30">
        <v>45.4</v>
      </c>
      <c r="F608" s="29">
        <f>17.6</f>
        <v>17.600000000000001</v>
      </c>
      <c r="G608" s="31" t="e">
        <v>#N/A</v>
      </c>
      <c r="H608" s="51" t="e">
        <f t="shared" si="46"/>
        <v>#N/A</v>
      </c>
      <c r="I608" s="29">
        <f>9.3</f>
        <v>9.3000000000000007</v>
      </c>
      <c r="J608" s="31">
        <v>7.78</v>
      </c>
      <c r="K608" s="51">
        <f t="shared" si="47"/>
        <v>9.2696629213483164E-2</v>
      </c>
      <c r="L608" s="29">
        <f>14.4</f>
        <v>14.4</v>
      </c>
      <c r="M608" s="30">
        <v>14.4</v>
      </c>
      <c r="N608" s="29" t="e">
        <f>NA()</f>
        <v>#N/A</v>
      </c>
      <c r="O608" s="29" t="e">
        <v>#N/A</v>
      </c>
      <c r="P608" s="51" t="e">
        <f t="shared" si="45"/>
        <v>#N/A</v>
      </c>
      <c r="Q608" s="29">
        <f>0</f>
        <v>0</v>
      </c>
      <c r="R608" s="43">
        <v>4.5999999999999996</v>
      </c>
      <c r="S608" s="32" t="e">
        <f t="shared" si="48"/>
        <v>#N/A</v>
      </c>
      <c r="T608" s="54" t="e">
        <f>VLOOKUP(A608,[1]인포맥스!$A:$I,9,0)</f>
        <v>#N/A</v>
      </c>
      <c r="U608" s="70" t="e">
        <f t="shared" si="49"/>
        <v>#N/A</v>
      </c>
    </row>
    <row r="609" spans="1:21" x14ac:dyDescent="0.25">
      <c r="A609" s="3">
        <v>25902</v>
      </c>
      <c r="B609" s="29" t="e">
        <f>NA()</f>
        <v>#N/A</v>
      </c>
      <c r="C609" s="29" t="e">
        <v>#N/A</v>
      </c>
      <c r="D609" s="50">
        <f>39.7</f>
        <v>39.700000000000003</v>
      </c>
      <c r="E609" s="30">
        <v>39.700000000000003</v>
      </c>
      <c r="F609" s="29">
        <f>20.4</f>
        <v>20.399999999999999</v>
      </c>
      <c r="G609" s="31" t="e">
        <v>#N/A</v>
      </c>
      <c r="H609" s="51" t="e">
        <f t="shared" si="46"/>
        <v>#N/A</v>
      </c>
      <c r="I609" s="29">
        <f>9.6</f>
        <v>9.6</v>
      </c>
      <c r="J609" s="31">
        <v>7.73</v>
      </c>
      <c r="K609" s="51">
        <f t="shared" si="47"/>
        <v>9.6453900709219942E-2</v>
      </c>
      <c r="L609" s="29">
        <f>13</f>
        <v>13</v>
      </c>
      <c r="M609" s="30">
        <v>13</v>
      </c>
      <c r="N609" s="29" t="e">
        <f>NA()</f>
        <v>#N/A</v>
      </c>
      <c r="O609" s="29" t="e">
        <v>#N/A</v>
      </c>
      <c r="P609" s="51" t="e">
        <f t="shared" si="45"/>
        <v>#N/A</v>
      </c>
      <c r="Q609" s="29">
        <f>0</f>
        <v>0</v>
      </c>
      <c r="R609" s="43">
        <v>4.5</v>
      </c>
      <c r="S609" s="32" t="e">
        <f t="shared" si="48"/>
        <v>#N/A</v>
      </c>
      <c r="T609" s="54" t="e">
        <f>VLOOKUP(A609,[1]인포맥스!$A:$I,9,0)</f>
        <v>#N/A</v>
      </c>
      <c r="U609" s="70" t="e">
        <f t="shared" si="49"/>
        <v>#N/A</v>
      </c>
    </row>
    <row r="610" spans="1:21" x14ac:dyDescent="0.25">
      <c r="A610" s="3">
        <v>25872</v>
      </c>
      <c r="B610" s="29" t="e">
        <f>NA()</f>
        <v>#N/A</v>
      </c>
      <c r="C610" s="29" t="e">
        <v>#N/A</v>
      </c>
      <c r="D610" s="50">
        <f>42.4</f>
        <v>42.4</v>
      </c>
      <c r="E610" s="30">
        <v>42.4</v>
      </c>
      <c r="F610" s="29">
        <f>48.2</f>
        <v>48.2</v>
      </c>
      <c r="G610" s="31" t="e">
        <v>#N/A</v>
      </c>
      <c r="H610" s="51" t="e">
        <f t="shared" si="46"/>
        <v>#N/A</v>
      </c>
      <c r="I610" s="29">
        <f>9</f>
        <v>9</v>
      </c>
      <c r="J610" s="31">
        <v>7.65</v>
      </c>
      <c r="K610" s="51">
        <f t="shared" si="47"/>
        <v>8.9743589743589855E-2</v>
      </c>
      <c r="L610" s="29">
        <f>14.5</f>
        <v>14.5</v>
      </c>
      <c r="M610" s="30">
        <v>14.5</v>
      </c>
      <c r="N610" s="29" t="e">
        <f>NA()</f>
        <v>#N/A</v>
      </c>
      <c r="O610" s="29" t="e">
        <v>#N/A</v>
      </c>
      <c r="P610" s="51" t="e">
        <f t="shared" si="45"/>
        <v>#N/A</v>
      </c>
      <c r="Q610" s="29">
        <f>0</f>
        <v>0</v>
      </c>
      <c r="R610" s="43">
        <v>4.5</v>
      </c>
      <c r="S610" s="32" t="e">
        <f t="shared" si="48"/>
        <v>#N/A</v>
      </c>
      <c r="T610" s="54" t="e">
        <f>VLOOKUP(A610,[1]인포맥스!$A:$I,9,0)</f>
        <v>#N/A</v>
      </c>
      <c r="U610" s="70" t="e">
        <f t="shared" si="49"/>
        <v>#N/A</v>
      </c>
    </row>
    <row r="611" spans="1:21" x14ac:dyDescent="0.25">
      <c r="A611" s="3">
        <v>25841</v>
      </c>
      <c r="B611" s="29" t="e">
        <f>NA()</f>
        <v>#N/A</v>
      </c>
      <c r="C611" s="29" t="e">
        <v>#N/A</v>
      </c>
      <c r="D611" s="50">
        <f>44.1</f>
        <v>44.1</v>
      </c>
      <c r="E611" s="30">
        <v>44.1</v>
      </c>
      <c r="F611" s="29">
        <f>39.6</f>
        <v>39.6</v>
      </c>
      <c r="G611" s="31" t="e">
        <v>#N/A</v>
      </c>
      <c r="H611" s="51" t="e">
        <f t="shared" si="46"/>
        <v>#N/A</v>
      </c>
      <c r="I611" s="29">
        <f>9.8</f>
        <v>9.8000000000000007</v>
      </c>
      <c r="J611" s="31">
        <v>7.65</v>
      </c>
      <c r="K611" s="51">
        <f t="shared" si="47"/>
        <v>9.7560975609756184E-2</v>
      </c>
      <c r="L611" s="29">
        <f>15.3</f>
        <v>15.3</v>
      </c>
      <c r="M611" s="30">
        <v>15.3</v>
      </c>
      <c r="N611" s="29" t="e">
        <f>NA()</f>
        <v>#N/A</v>
      </c>
      <c r="O611" s="29" t="e">
        <v>#N/A</v>
      </c>
      <c r="P611" s="51" t="e">
        <f t="shared" si="45"/>
        <v>#N/A</v>
      </c>
      <c r="Q611" s="29">
        <f>0</f>
        <v>0</v>
      </c>
      <c r="R611" s="43">
        <v>4.5</v>
      </c>
      <c r="S611" s="32" t="e">
        <f t="shared" si="48"/>
        <v>#N/A</v>
      </c>
      <c r="T611" s="54" t="e">
        <f>VLOOKUP(A611,[1]인포맥스!$A:$I,9,0)</f>
        <v>#N/A</v>
      </c>
      <c r="U611" s="70" t="e">
        <f t="shared" si="49"/>
        <v>#N/A</v>
      </c>
    </row>
    <row r="612" spans="1:21" x14ac:dyDescent="0.25">
      <c r="A612" s="3">
        <v>25811</v>
      </c>
      <c r="B612" s="29" t="e">
        <f>NA()</f>
        <v>#N/A</v>
      </c>
      <c r="C612" s="29" t="e">
        <v>#N/A</v>
      </c>
      <c r="D612" s="50">
        <f>47.3</f>
        <v>47.3</v>
      </c>
      <c r="E612" s="30">
        <v>47.3</v>
      </c>
      <c r="F612" s="29">
        <f>35.2</f>
        <v>35.200000000000003</v>
      </c>
      <c r="G612" s="31" t="e">
        <v>#N/A</v>
      </c>
      <c r="H612" s="51" t="e">
        <f t="shared" si="46"/>
        <v>#N/A</v>
      </c>
      <c r="I612" s="29">
        <f>9.4</f>
        <v>9.4</v>
      </c>
      <c r="J612" s="31">
        <v>7.58</v>
      </c>
      <c r="K612" s="51">
        <f t="shared" si="47"/>
        <v>9.3795093795093848E-2</v>
      </c>
      <c r="L612" s="29">
        <f>16.2</f>
        <v>16.2</v>
      </c>
      <c r="M612" s="30">
        <v>16.2</v>
      </c>
      <c r="N612" s="29" t="e">
        <f>NA()</f>
        <v>#N/A</v>
      </c>
      <c r="O612" s="29" t="e">
        <v>#N/A</v>
      </c>
      <c r="P612" s="51" t="e">
        <f t="shared" si="45"/>
        <v>#N/A</v>
      </c>
      <c r="Q612" s="29">
        <f>0</f>
        <v>0</v>
      </c>
      <c r="R612" s="43">
        <v>4.4000000000000004</v>
      </c>
      <c r="S612" s="32" t="e">
        <f t="shared" si="48"/>
        <v>#N/A</v>
      </c>
      <c r="T612" s="54" t="e">
        <f>VLOOKUP(A612,[1]인포맥스!$A:$I,9,0)</f>
        <v>#N/A</v>
      </c>
      <c r="U612" s="70" t="e">
        <f t="shared" si="49"/>
        <v>#N/A</v>
      </c>
    </row>
    <row r="613" spans="1:21" x14ac:dyDescent="0.25">
      <c r="A613" s="3">
        <v>25780</v>
      </c>
      <c r="B613" s="29" t="e">
        <f>NA()</f>
        <v>#N/A</v>
      </c>
      <c r="C613" s="29" t="e">
        <v>#N/A</v>
      </c>
      <c r="D613" s="50">
        <f>49.5</f>
        <v>49.5</v>
      </c>
      <c r="E613" s="30">
        <v>49.5</v>
      </c>
      <c r="F613" s="29">
        <f>45.9</f>
        <v>45.9</v>
      </c>
      <c r="G613" s="31" t="e">
        <v>#N/A</v>
      </c>
      <c r="H613" s="51" t="e">
        <f t="shared" si="46"/>
        <v>#N/A</v>
      </c>
      <c r="I613" s="29">
        <f>9.1</f>
        <v>9.1</v>
      </c>
      <c r="J613" s="31">
        <v>7.56</v>
      </c>
      <c r="K613" s="51">
        <f t="shared" si="47"/>
        <v>9.0909090909090898E-2</v>
      </c>
      <c r="L613" s="29">
        <f>16</f>
        <v>16</v>
      </c>
      <c r="M613" s="30">
        <v>16</v>
      </c>
      <c r="N613" s="29" t="e">
        <f>NA()</f>
        <v>#N/A</v>
      </c>
      <c r="O613" s="29" t="e">
        <v>#N/A</v>
      </c>
      <c r="P613" s="51" t="e">
        <f t="shared" si="45"/>
        <v>#N/A</v>
      </c>
      <c r="Q613" s="29">
        <f>0</f>
        <v>0</v>
      </c>
      <c r="R613" s="43">
        <v>4.4000000000000004</v>
      </c>
      <c r="S613" s="32" t="e">
        <f t="shared" si="48"/>
        <v>#N/A</v>
      </c>
      <c r="T613" s="54" t="e">
        <f>VLOOKUP(A613,[1]인포맥스!$A:$I,9,0)</f>
        <v>#N/A</v>
      </c>
      <c r="U613" s="70" t="e">
        <f t="shared" si="49"/>
        <v>#N/A</v>
      </c>
    </row>
    <row r="614" spans="1:21" x14ac:dyDescent="0.25">
      <c r="A614" s="3">
        <v>25749</v>
      </c>
      <c r="B614" s="29" t="e">
        <f>NA()</f>
        <v>#N/A</v>
      </c>
      <c r="C614" s="29" t="e">
        <v>#N/A</v>
      </c>
      <c r="D614" s="50">
        <f>51.1</f>
        <v>51.1</v>
      </c>
      <c r="E614" s="30">
        <v>51.1</v>
      </c>
      <c r="F614" s="29">
        <f>19.4</f>
        <v>19.399999999999999</v>
      </c>
      <c r="G614" s="31" t="e">
        <v>#N/A</v>
      </c>
      <c r="H614" s="51" t="e">
        <f t="shared" si="46"/>
        <v>#N/A</v>
      </c>
      <c r="I614" s="29">
        <f>9.1</f>
        <v>9.1</v>
      </c>
      <c r="J614" s="31">
        <v>7.55</v>
      </c>
      <c r="K614" s="51">
        <f t="shared" si="47"/>
        <v>9.1040462427745647E-2</v>
      </c>
      <c r="L614" s="29">
        <f>15.2</f>
        <v>15.2</v>
      </c>
      <c r="M614" s="30">
        <v>15.2</v>
      </c>
      <c r="N614" s="29" t="e">
        <f>NA()</f>
        <v>#N/A</v>
      </c>
      <c r="O614" s="29" t="e">
        <v>#N/A</v>
      </c>
      <c r="P614" s="51" t="e">
        <f t="shared" si="45"/>
        <v>#N/A</v>
      </c>
      <c r="Q614" s="29">
        <f>0</f>
        <v>0</v>
      </c>
      <c r="R614" s="43">
        <v>4.4000000000000004</v>
      </c>
      <c r="S614" s="32" t="e">
        <f t="shared" si="48"/>
        <v>#N/A</v>
      </c>
      <c r="T614" s="54" t="e">
        <f>VLOOKUP(A614,[1]인포맥스!$A:$I,9,0)</f>
        <v>#N/A</v>
      </c>
      <c r="U614" s="70" t="e">
        <f t="shared" si="49"/>
        <v>#N/A</v>
      </c>
    </row>
    <row r="615" spans="1:21" x14ac:dyDescent="0.25">
      <c r="A615" s="3">
        <v>25719</v>
      </c>
      <c r="B615" s="29" t="e">
        <f>NA()</f>
        <v>#N/A</v>
      </c>
      <c r="C615" s="29" t="e">
        <v>#N/A</v>
      </c>
      <c r="D615" s="50">
        <f>47.2</f>
        <v>47.2</v>
      </c>
      <c r="E615" s="30">
        <v>47.2</v>
      </c>
      <c r="F615" s="29">
        <f>23</f>
        <v>23</v>
      </c>
      <c r="G615" s="31" t="e">
        <v>#N/A</v>
      </c>
      <c r="H615" s="51" t="e">
        <f t="shared" si="46"/>
        <v>#N/A</v>
      </c>
      <c r="I615" s="29">
        <f>9.6</f>
        <v>9.6</v>
      </c>
      <c r="J615" s="31">
        <v>7.55</v>
      </c>
      <c r="K615" s="51">
        <f t="shared" si="47"/>
        <v>9.5791001451378838E-2</v>
      </c>
      <c r="L615" s="29">
        <f>18</f>
        <v>18</v>
      </c>
      <c r="M615" s="30">
        <v>18</v>
      </c>
      <c r="N615" s="29" t="e">
        <f>NA()</f>
        <v>#N/A</v>
      </c>
      <c r="O615" s="29" t="e">
        <v>#N/A</v>
      </c>
      <c r="P615" s="51" t="e">
        <f t="shared" si="45"/>
        <v>#N/A</v>
      </c>
      <c r="Q615" s="29">
        <f>0</f>
        <v>0</v>
      </c>
      <c r="R615" s="43">
        <v>4.3</v>
      </c>
      <c r="S615" s="32" t="e">
        <f t="shared" si="48"/>
        <v>#N/A</v>
      </c>
      <c r="T615" s="54" t="e">
        <f>VLOOKUP(A615,[1]인포맥스!$A:$I,9,0)</f>
        <v>#N/A</v>
      </c>
      <c r="U615" s="70" t="e">
        <f t="shared" si="49"/>
        <v>#N/A</v>
      </c>
    </row>
    <row r="616" spans="1:21" x14ac:dyDescent="0.25">
      <c r="A616" s="3">
        <v>25688</v>
      </c>
      <c r="B616" s="29" t="e">
        <f>NA()</f>
        <v>#N/A</v>
      </c>
      <c r="C616" s="29" t="e">
        <v>#N/A</v>
      </c>
      <c r="D616" s="50">
        <f>45</f>
        <v>45</v>
      </c>
      <c r="E616" s="30">
        <v>45</v>
      </c>
      <c r="F616" s="29">
        <f>39.8</f>
        <v>39.799999999999997</v>
      </c>
      <c r="G616" s="31" t="e">
        <v>#N/A</v>
      </c>
      <c r="H616" s="51" t="e">
        <f t="shared" si="46"/>
        <v>#N/A</v>
      </c>
      <c r="I616" s="29">
        <f>9.8</f>
        <v>9.8000000000000007</v>
      </c>
      <c r="J616" s="31">
        <v>7.52</v>
      </c>
      <c r="K616" s="51">
        <f t="shared" si="47"/>
        <v>9.7810218978102187E-2</v>
      </c>
      <c r="L616" s="29">
        <f>20</f>
        <v>20</v>
      </c>
      <c r="M616" s="30">
        <v>20</v>
      </c>
      <c r="N616" s="29" t="e">
        <f>NA()</f>
        <v>#N/A</v>
      </c>
      <c r="O616" s="29" t="e">
        <v>#N/A</v>
      </c>
      <c r="P616" s="51" t="e">
        <f t="shared" si="45"/>
        <v>#N/A</v>
      </c>
      <c r="Q616" s="29">
        <f>0</f>
        <v>0</v>
      </c>
      <c r="R616" s="43">
        <v>4.3</v>
      </c>
      <c r="S616" s="32" t="e">
        <f t="shared" si="48"/>
        <v>#N/A</v>
      </c>
      <c r="T616" s="54" t="e">
        <f>VLOOKUP(A616,[1]인포맥스!$A:$I,9,0)</f>
        <v>#N/A</v>
      </c>
      <c r="U616" s="70" t="e">
        <f t="shared" si="49"/>
        <v>#N/A</v>
      </c>
    </row>
    <row r="617" spans="1:21" x14ac:dyDescent="0.25">
      <c r="A617" s="3">
        <v>25658</v>
      </c>
      <c r="B617" s="29" t="e">
        <f>NA()</f>
        <v>#N/A</v>
      </c>
      <c r="C617" s="29" t="e">
        <v>#N/A</v>
      </c>
      <c r="D617" s="50">
        <f>46.9</f>
        <v>46.9</v>
      </c>
      <c r="E617" s="30">
        <v>46.9</v>
      </c>
      <c r="F617" s="29">
        <f>54.4</f>
        <v>54.4</v>
      </c>
      <c r="G617" s="31" t="e">
        <v>#N/A</v>
      </c>
      <c r="H617" s="51" t="e">
        <f t="shared" si="46"/>
        <v>#N/A</v>
      </c>
      <c r="I617" s="29">
        <f>8.9</f>
        <v>8.9</v>
      </c>
      <c r="J617" s="31">
        <v>7.43</v>
      </c>
      <c r="K617" s="51">
        <f t="shared" si="47"/>
        <v>8.9442815249266769E-2</v>
      </c>
      <c r="L617" s="29">
        <f>18.1</f>
        <v>18.100000000000001</v>
      </c>
      <c r="M617" s="30">
        <v>18.100000000000001</v>
      </c>
      <c r="N617" s="29" t="e">
        <f>NA()</f>
        <v>#N/A</v>
      </c>
      <c r="O617" s="29" t="e">
        <v>#N/A</v>
      </c>
      <c r="P617" s="51" t="e">
        <f t="shared" si="45"/>
        <v>#N/A</v>
      </c>
      <c r="Q617" s="29">
        <f>0</f>
        <v>0</v>
      </c>
      <c r="R617" s="43">
        <v>4.3</v>
      </c>
      <c r="S617" s="32" t="e">
        <f t="shared" si="48"/>
        <v>#N/A</v>
      </c>
      <c r="T617" s="54" t="e">
        <f>VLOOKUP(A617,[1]인포맥스!$A:$I,9,0)</f>
        <v>#N/A</v>
      </c>
      <c r="U617" s="70" t="e">
        <f t="shared" si="49"/>
        <v>#N/A</v>
      </c>
    </row>
    <row r="618" spans="1:21" x14ac:dyDescent="0.25">
      <c r="A618" s="3">
        <v>25627</v>
      </c>
      <c r="B618" s="29" t="e">
        <f>NA()</f>
        <v>#N/A</v>
      </c>
      <c r="C618" s="29" t="e">
        <v>#N/A</v>
      </c>
      <c r="D618" s="50">
        <f>47.4</f>
        <v>47.4</v>
      </c>
      <c r="E618" s="30">
        <v>47.4</v>
      </c>
      <c r="F618" s="29">
        <f>50.1</f>
        <v>50.1</v>
      </c>
      <c r="G618" s="31" t="e">
        <v>#N/A</v>
      </c>
      <c r="H618" s="51" t="e">
        <f t="shared" si="46"/>
        <v>#N/A</v>
      </c>
      <c r="I618" s="29">
        <f>8.2</f>
        <v>8.1999999999999993</v>
      </c>
      <c r="J618" s="31">
        <v>7.36</v>
      </c>
      <c r="K618" s="51">
        <f t="shared" si="47"/>
        <v>8.235294117647067E-2</v>
      </c>
      <c r="L618" s="29">
        <f>16.5</f>
        <v>16.5</v>
      </c>
      <c r="M618" s="30">
        <v>16.5</v>
      </c>
      <c r="N618" s="29" t="e">
        <f>NA()</f>
        <v>#N/A</v>
      </c>
      <c r="O618" s="29" t="e">
        <v>#N/A</v>
      </c>
      <c r="P618" s="51" t="e">
        <f t="shared" si="45"/>
        <v>#N/A</v>
      </c>
      <c r="Q618" s="29">
        <f>0</f>
        <v>0</v>
      </c>
      <c r="R618" s="43">
        <v>4.2</v>
      </c>
      <c r="S618" s="32" t="e">
        <f t="shared" si="48"/>
        <v>#N/A</v>
      </c>
      <c r="T618" s="54" t="e">
        <f>VLOOKUP(A618,[1]인포맥스!$A:$I,9,0)</f>
        <v>#N/A</v>
      </c>
      <c r="U618" s="70" t="e">
        <f t="shared" si="49"/>
        <v>#N/A</v>
      </c>
    </row>
    <row r="619" spans="1:21" x14ac:dyDescent="0.25">
      <c r="A619" s="3">
        <v>25599</v>
      </c>
      <c r="B619" s="29" t="e">
        <f>NA()</f>
        <v>#N/A</v>
      </c>
      <c r="C619" s="29" t="e">
        <v>#N/A</v>
      </c>
      <c r="D619" s="50">
        <f>48.7</f>
        <v>48.7</v>
      </c>
      <c r="E619" s="30">
        <v>48.7</v>
      </c>
      <c r="F619" s="29">
        <f>46.3</f>
        <v>46.3</v>
      </c>
      <c r="G619" s="31" t="e">
        <v>#N/A</v>
      </c>
      <c r="H619" s="51" t="e">
        <f t="shared" si="46"/>
        <v>#N/A</v>
      </c>
      <c r="I619" s="29">
        <f>8.3</f>
        <v>8.3000000000000007</v>
      </c>
      <c r="J619" s="31">
        <v>7.29</v>
      </c>
      <c r="K619" s="51">
        <f t="shared" si="47"/>
        <v>8.3209509658246597E-2</v>
      </c>
      <c r="L619" s="29">
        <f>14.9</f>
        <v>14.9</v>
      </c>
      <c r="M619" s="30">
        <v>14.9</v>
      </c>
      <c r="N619" s="29" t="e">
        <f>NA()</f>
        <v>#N/A</v>
      </c>
      <c r="O619" s="29" t="e">
        <v>#N/A</v>
      </c>
      <c r="P619" s="51" t="e">
        <f t="shared" si="45"/>
        <v>#N/A</v>
      </c>
      <c r="Q619" s="29">
        <f>0</f>
        <v>0</v>
      </c>
      <c r="R619" s="43">
        <v>4.2</v>
      </c>
      <c r="S619" s="32" t="e">
        <f t="shared" si="48"/>
        <v>#N/A</v>
      </c>
      <c r="T619" s="54" t="e">
        <f>VLOOKUP(A619,[1]인포맥스!$A:$I,9,0)</f>
        <v>#N/A</v>
      </c>
      <c r="U619" s="70" t="e">
        <f t="shared" si="49"/>
        <v>#N/A</v>
      </c>
    </row>
    <row r="620" spans="1:21" x14ac:dyDescent="0.25">
      <c r="A620" s="3">
        <v>25568</v>
      </c>
      <c r="B620" s="29" t="e">
        <f>NA()</f>
        <v>#N/A</v>
      </c>
      <c r="C620" s="29" t="e">
        <v>#N/A</v>
      </c>
      <c r="D620" s="50">
        <f>52</f>
        <v>52</v>
      </c>
      <c r="E620" s="30">
        <v>52</v>
      </c>
      <c r="F620" s="29">
        <f>47.7</f>
        <v>47.7</v>
      </c>
      <c r="G620" s="31" t="e">
        <v>#N/A</v>
      </c>
      <c r="H620" s="51" t="e">
        <f t="shared" si="46"/>
        <v>#N/A</v>
      </c>
      <c r="I620" s="29">
        <f>7.6</f>
        <v>7.6</v>
      </c>
      <c r="J620" s="31">
        <v>7.12</v>
      </c>
      <c r="K620" s="51">
        <f t="shared" si="47"/>
        <v>7.5528700906344406E-2</v>
      </c>
      <c r="L620" s="29">
        <f>16.3</f>
        <v>16.3</v>
      </c>
      <c r="M620" s="30">
        <v>16.3</v>
      </c>
      <c r="N620" s="29" t="e">
        <f>NA()</f>
        <v>#N/A</v>
      </c>
      <c r="O620" s="29" t="e">
        <v>#N/A</v>
      </c>
      <c r="P620" s="51" t="e">
        <f t="shared" si="45"/>
        <v>#N/A</v>
      </c>
      <c r="Q620" s="29" t="e">
        <f>NA()</f>
        <v>#N/A</v>
      </c>
      <c r="R620" s="43" t="e">
        <v>#N/A</v>
      </c>
      <c r="S620" s="32" t="e">
        <f t="shared" si="48"/>
        <v>#N/A</v>
      </c>
      <c r="T620" s="54" t="e">
        <f>VLOOKUP(A620,[1]인포맥스!$A:$I,9,0)</f>
        <v>#N/A</v>
      </c>
      <c r="U620" s="70" t="e">
        <f t="shared" si="49"/>
        <v>#N/A</v>
      </c>
    </row>
    <row r="621" spans="1:21" x14ac:dyDescent="0.25">
      <c r="A621" s="3">
        <v>25537</v>
      </c>
      <c r="B621" s="29" t="e">
        <f>NA()</f>
        <v>#N/A</v>
      </c>
      <c r="C621" s="29" t="e">
        <v>#N/A</v>
      </c>
      <c r="D621" s="50">
        <f>53.2</f>
        <v>53.2</v>
      </c>
      <c r="E621" s="30">
        <v>53.2</v>
      </c>
      <c r="F621" s="29">
        <f>37.6</f>
        <v>37.6</v>
      </c>
      <c r="G621" s="31" t="e">
        <v>#N/A</v>
      </c>
      <c r="H621" s="51" t="e">
        <f t="shared" si="46"/>
        <v>#N/A</v>
      </c>
      <c r="I621" s="29">
        <f>5.5</f>
        <v>5.5</v>
      </c>
      <c r="J621" s="31">
        <v>7.05</v>
      </c>
      <c r="K621" s="51">
        <f t="shared" si="47"/>
        <v>5.5389221556886248E-2</v>
      </c>
      <c r="L621" s="29">
        <f>13.1</f>
        <v>13.1</v>
      </c>
      <c r="M621" s="30">
        <v>13.1</v>
      </c>
      <c r="N621" s="29" t="e">
        <f>NA()</f>
        <v>#N/A</v>
      </c>
      <c r="O621" s="29" t="e">
        <v>#N/A</v>
      </c>
      <c r="P621" s="51" t="e">
        <f t="shared" si="45"/>
        <v>#N/A</v>
      </c>
      <c r="Q621" s="29" t="e">
        <f>NA()</f>
        <v>#N/A</v>
      </c>
      <c r="R621" s="43" t="e">
        <v>#N/A</v>
      </c>
      <c r="S621" s="32" t="e">
        <f t="shared" si="48"/>
        <v>#N/A</v>
      </c>
      <c r="T621" s="54" t="e">
        <f>VLOOKUP(A621,[1]인포맥스!$A:$I,9,0)</f>
        <v>#N/A</v>
      </c>
      <c r="U621" s="70" t="e">
        <f t="shared" si="49"/>
        <v>#N/A</v>
      </c>
    </row>
    <row r="622" spans="1:21" x14ac:dyDescent="0.25">
      <c r="A622" s="3">
        <v>25507</v>
      </c>
      <c r="B622" s="29" t="e">
        <f>NA()</f>
        <v>#N/A</v>
      </c>
      <c r="C622" s="29" t="e">
        <v>#N/A</v>
      </c>
      <c r="D622" s="50">
        <f>54.6</f>
        <v>54.6</v>
      </c>
      <c r="E622" s="30">
        <v>54.6</v>
      </c>
      <c r="F622" s="29">
        <f>32.7</f>
        <v>32.700000000000003</v>
      </c>
      <c r="G622" s="31" t="e">
        <v>#N/A</v>
      </c>
      <c r="H622" s="51" t="e">
        <f t="shared" si="46"/>
        <v>#N/A</v>
      </c>
      <c r="I622" s="29">
        <f>6.5</f>
        <v>6.5</v>
      </c>
      <c r="J622" s="31">
        <v>7.02</v>
      </c>
      <c r="K622" s="51">
        <f t="shared" si="47"/>
        <v>6.5250379362670669E-2</v>
      </c>
      <c r="L622" s="29">
        <f>14.4</f>
        <v>14.4</v>
      </c>
      <c r="M622" s="30">
        <v>14.4</v>
      </c>
      <c r="N622" s="29" t="e">
        <f>NA()</f>
        <v>#N/A</v>
      </c>
      <c r="O622" s="29" t="e">
        <v>#N/A</v>
      </c>
      <c r="P622" s="51" t="e">
        <f t="shared" si="45"/>
        <v>#N/A</v>
      </c>
      <c r="Q622" s="29" t="e">
        <f>NA()</f>
        <v>#N/A</v>
      </c>
      <c r="R622" s="43" t="e">
        <v>#N/A</v>
      </c>
      <c r="S622" s="32" t="e">
        <f t="shared" si="48"/>
        <v>#N/A</v>
      </c>
      <c r="T622" s="54" t="e">
        <f>VLOOKUP(A622,[1]인포맥스!$A:$I,9,0)</f>
        <v>#N/A</v>
      </c>
      <c r="U622" s="70" t="e">
        <f t="shared" si="49"/>
        <v>#N/A</v>
      </c>
    </row>
    <row r="623" spans="1:21" x14ac:dyDescent="0.25">
      <c r="A623" s="3">
        <v>25476</v>
      </c>
      <c r="B623" s="29" t="e">
        <f>NA()</f>
        <v>#N/A</v>
      </c>
      <c r="C623" s="29" t="e">
        <v>#N/A</v>
      </c>
      <c r="D623" s="50">
        <f>54.1</f>
        <v>54.1</v>
      </c>
      <c r="E623" s="30">
        <v>54.1</v>
      </c>
      <c r="F623" s="29">
        <f>23.3</f>
        <v>23.3</v>
      </c>
      <c r="G623" s="31" t="e">
        <v>#N/A</v>
      </c>
      <c r="H623" s="51" t="e">
        <f t="shared" si="46"/>
        <v>#N/A</v>
      </c>
      <c r="I623" s="29">
        <f>7.4</f>
        <v>7.4</v>
      </c>
      <c r="J623" s="31">
        <v>6.97</v>
      </c>
      <c r="K623" s="51">
        <f t="shared" si="47"/>
        <v>7.3959938366717951E-2</v>
      </c>
      <c r="L623" s="29">
        <f>14.5</f>
        <v>14.5</v>
      </c>
      <c r="M623" s="30">
        <v>14.5</v>
      </c>
      <c r="N623" s="29" t="e">
        <f>NA()</f>
        <v>#N/A</v>
      </c>
      <c r="O623" s="29" t="e">
        <v>#N/A</v>
      </c>
      <c r="P623" s="51" t="e">
        <f t="shared" si="45"/>
        <v>#N/A</v>
      </c>
      <c r="Q623" s="29" t="e">
        <f>NA()</f>
        <v>#N/A</v>
      </c>
      <c r="R623" s="43" t="e">
        <v>#N/A</v>
      </c>
      <c r="S623" s="32" t="e">
        <f t="shared" si="48"/>
        <v>#N/A</v>
      </c>
      <c r="T623" s="54" t="e">
        <f>VLOOKUP(A623,[1]인포맥스!$A:$I,9,0)</f>
        <v>#N/A</v>
      </c>
      <c r="U623" s="70" t="e">
        <f t="shared" si="49"/>
        <v>#N/A</v>
      </c>
    </row>
    <row r="624" spans="1:21" x14ac:dyDescent="0.25">
      <c r="A624" s="3">
        <v>25446</v>
      </c>
      <c r="B624" s="29" t="e">
        <f>NA()</f>
        <v>#N/A</v>
      </c>
      <c r="C624" s="29" t="e">
        <v>#N/A</v>
      </c>
      <c r="D624" s="50">
        <f>54.8</f>
        <v>54.8</v>
      </c>
      <c r="E624" s="30">
        <v>54.8</v>
      </c>
      <c r="F624" s="29">
        <f>35.4</f>
        <v>35.4</v>
      </c>
      <c r="G624" s="31" t="e">
        <v>#N/A</v>
      </c>
      <c r="H624" s="51" t="e">
        <f t="shared" si="46"/>
        <v>#N/A</v>
      </c>
      <c r="I624" s="29">
        <f>6.6</f>
        <v>6.6</v>
      </c>
      <c r="J624" s="31">
        <v>6.93</v>
      </c>
      <c r="K624" s="51">
        <f t="shared" si="47"/>
        <v>6.6153846153846105E-2</v>
      </c>
      <c r="L624" s="29">
        <f>11.4</f>
        <v>11.4</v>
      </c>
      <c r="M624" s="30">
        <v>11.4</v>
      </c>
      <c r="N624" s="29" t="e">
        <f>NA()</f>
        <v>#N/A</v>
      </c>
      <c r="O624" s="29" t="e">
        <v>#N/A</v>
      </c>
      <c r="P624" s="51" t="e">
        <f t="shared" si="45"/>
        <v>#N/A</v>
      </c>
      <c r="Q624" s="29" t="e">
        <f>NA()</f>
        <v>#N/A</v>
      </c>
      <c r="R624" s="43" t="e">
        <v>#N/A</v>
      </c>
      <c r="S624" s="32" t="e">
        <f t="shared" si="48"/>
        <v>#N/A</v>
      </c>
      <c r="T624" s="54" t="e">
        <f>VLOOKUP(A624,[1]인포맥스!$A:$I,9,0)</f>
        <v>#N/A</v>
      </c>
      <c r="U624" s="70" t="e">
        <f t="shared" si="49"/>
        <v>#N/A</v>
      </c>
    </row>
    <row r="625" spans="1:21" x14ac:dyDescent="0.25">
      <c r="A625" s="3">
        <v>25415</v>
      </c>
      <c r="B625" s="29" t="e">
        <f>NA()</f>
        <v>#N/A</v>
      </c>
      <c r="C625" s="29" t="e">
        <v>#N/A</v>
      </c>
      <c r="D625" s="50">
        <f>53.1</f>
        <v>53.1</v>
      </c>
      <c r="E625" s="30">
        <v>53.1</v>
      </c>
      <c r="F625" s="29">
        <f>44.4</f>
        <v>44.4</v>
      </c>
      <c r="G625" s="31" t="e">
        <v>#N/A</v>
      </c>
      <c r="H625" s="51" t="e">
        <f t="shared" si="46"/>
        <v>#N/A</v>
      </c>
      <c r="I625" s="29">
        <f>6.8</f>
        <v>6.8</v>
      </c>
      <c r="J625" s="31">
        <v>6.93</v>
      </c>
      <c r="K625" s="51">
        <f t="shared" si="47"/>
        <v>6.7796610169491442E-2</v>
      </c>
      <c r="L625" s="29">
        <f>11.6</f>
        <v>11.6</v>
      </c>
      <c r="M625" s="30">
        <v>11.6</v>
      </c>
      <c r="N625" s="29" t="e">
        <f>NA()</f>
        <v>#N/A</v>
      </c>
      <c r="O625" s="29" t="e">
        <v>#N/A</v>
      </c>
      <c r="P625" s="51" t="e">
        <f t="shared" si="45"/>
        <v>#N/A</v>
      </c>
      <c r="Q625" s="29" t="e">
        <f>NA()</f>
        <v>#N/A</v>
      </c>
      <c r="R625" s="43" t="e">
        <v>#N/A</v>
      </c>
      <c r="S625" s="32" t="e">
        <f t="shared" si="48"/>
        <v>#N/A</v>
      </c>
      <c r="T625" s="54" t="e">
        <f>VLOOKUP(A625,[1]인포맥스!$A:$I,9,0)</f>
        <v>#N/A</v>
      </c>
      <c r="U625" s="70" t="e">
        <f t="shared" si="49"/>
        <v>#N/A</v>
      </c>
    </row>
    <row r="626" spans="1:21" x14ac:dyDescent="0.25">
      <c r="A626" s="3">
        <v>25384</v>
      </c>
      <c r="B626" s="29" t="e">
        <f>NA()</f>
        <v>#N/A</v>
      </c>
      <c r="C626" s="29" t="e">
        <v>#N/A</v>
      </c>
      <c r="D626" s="50">
        <f>55.5</f>
        <v>55.5</v>
      </c>
      <c r="E626" s="30">
        <v>55.5</v>
      </c>
      <c r="F626" s="29">
        <f>43.4</f>
        <v>43.4</v>
      </c>
      <c r="G626" s="31" t="e">
        <v>#N/A</v>
      </c>
      <c r="H626" s="51" t="e">
        <f t="shared" si="46"/>
        <v>#N/A</v>
      </c>
      <c r="I626" s="29">
        <f>6.8</f>
        <v>6.8</v>
      </c>
      <c r="J626" s="31">
        <v>6.92</v>
      </c>
      <c r="K626" s="51">
        <f t="shared" si="47"/>
        <v>6.7901234567901148E-2</v>
      </c>
      <c r="L626" s="29">
        <f>11.5</f>
        <v>11.5</v>
      </c>
      <c r="M626" s="30">
        <v>11.5</v>
      </c>
      <c r="N626" s="29" t="e">
        <f>NA()</f>
        <v>#N/A</v>
      </c>
      <c r="O626" s="29" t="e">
        <v>#N/A</v>
      </c>
      <c r="P626" s="51" t="e">
        <f t="shared" si="45"/>
        <v>#N/A</v>
      </c>
      <c r="Q626" s="29" t="e">
        <f>NA()</f>
        <v>#N/A</v>
      </c>
      <c r="R626" s="43" t="e">
        <v>#N/A</v>
      </c>
      <c r="S626" s="32" t="e">
        <f t="shared" si="48"/>
        <v>#N/A</v>
      </c>
      <c r="T626" s="54" t="e">
        <f>VLOOKUP(A626,[1]인포맥스!$A:$I,9,0)</f>
        <v>#N/A</v>
      </c>
      <c r="U626" s="70" t="e">
        <f t="shared" si="49"/>
        <v>#N/A</v>
      </c>
    </row>
    <row r="627" spans="1:21" x14ac:dyDescent="0.25">
      <c r="A627" s="3">
        <v>25354</v>
      </c>
      <c r="B627" s="29" t="e">
        <f>NA()</f>
        <v>#N/A</v>
      </c>
      <c r="C627" s="29" t="e">
        <v>#N/A</v>
      </c>
      <c r="D627" s="50">
        <f>56.7</f>
        <v>56.7</v>
      </c>
      <c r="E627" s="30">
        <v>56.7</v>
      </c>
      <c r="F627" s="29">
        <f>55.5</f>
        <v>55.5</v>
      </c>
      <c r="G627" s="31" t="e">
        <v>#N/A</v>
      </c>
      <c r="H627" s="51" t="e">
        <f t="shared" si="46"/>
        <v>#N/A</v>
      </c>
      <c r="I627" s="29">
        <f>6.7</f>
        <v>6.7</v>
      </c>
      <c r="J627" s="31">
        <v>6.89</v>
      </c>
      <c r="K627" s="51">
        <f t="shared" si="47"/>
        <v>6.6563467492260012E-2</v>
      </c>
      <c r="L627" s="29">
        <f>11.6</f>
        <v>11.6</v>
      </c>
      <c r="M627" s="30">
        <v>11.6</v>
      </c>
      <c r="N627" s="29" t="e">
        <f>NA()</f>
        <v>#N/A</v>
      </c>
      <c r="O627" s="29" t="e">
        <v>#N/A</v>
      </c>
      <c r="P627" s="51" t="e">
        <f t="shared" si="45"/>
        <v>#N/A</v>
      </c>
      <c r="Q627" s="29" t="e">
        <f>NA()</f>
        <v>#N/A</v>
      </c>
      <c r="R627" s="43" t="e">
        <v>#N/A</v>
      </c>
      <c r="S627" s="32" t="e">
        <f t="shared" si="48"/>
        <v>#N/A</v>
      </c>
      <c r="T627" s="54" t="e">
        <f>VLOOKUP(A627,[1]인포맥스!$A:$I,9,0)</f>
        <v>#N/A</v>
      </c>
      <c r="U627" s="70" t="e">
        <f t="shared" si="49"/>
        <v>#N/A</v>
      </c>
    </row>
    <row r="628" spans="1:21" x14ac:dyDescent="0.25">
      <c r="A628" s="3">
        <v>25323</v>
      </c>
      <c r="B628" s="29" t="e">
        <f>NA()</f>
        <v>#N/A</v>
      </c>
      <c r="C628" s="29" t="e">
        <v>#N/A</v>
      </c>
      <c r="D628" s="50">
        <f>55.2</f>
        <v>55.2</v>
      </c>
      <c r="E628" s="30">
        <v>55.2</v>
      </c>
      <c r="F628" s="29">
        <f>19.1</f>
        <v>19.100000000000001</v>
      </c>
      <c r="G628" s="31" t="e">
        <v>#N/A</v>
      </c>
      <c r="H628" s="51" t="e">
        <f t="shared" si="46"/>
        <v>#N/A</v>
      </c>
      <c r="I628" s="29">
        <f>6.4</f>
        <v>6.4</v>
      </c>
      <c r="J628" s="31">
        <v>6.85</v>
      </c>
      <c r="K628" s="51">
        <f t="shared" si="47"/>
        <v>6.366459627329181E-2</v>
      </c>
      <c r="L628" s="29">
        <f>11.1</f>
        <v>11.1</v>
      </c>
      <c r="M628" s="30">
        <v>11.1</v>
      </c>
      <c r="N628" s="29" t="e">
        <f>NA()</f>
        <v>#N/A</v>
      </c>
      <c r="O628" s="29" t="e">
        <v>#N/A</v>
      </c>
      <c r="P628" s="51" t="e">
        <f t="shared" si="45"/>
        <v>#N/A</v>
      </c>
      <c r="Q628" s="29" t="e">
        <f>NA()</f>
        <v>#N/A</v>
      </c>
      <c r="R628" s="43" t="e">
        <v>#N/A</v>
      </c>
      <c r="S628" s="32" t="e">
        <f t="shared" si="48"/>
        <v>#N/A</v>
      </c>
      <c r="T628" s="54" t="e">
        <f>VLOOKUP(A628,[1]인포맥스!$A:$I,9,0)</f>
        <v>#N/A</v>
      </c>
      <c r="U628" s="70" t="e">
        <f t="shared" si="49"/>
        <v>#N/A</v>
      </c>
    </row>
    <row r="629" spans="1:21" x14ac:dyDescent="0.25">
      <c r="A629" s="3">
        <v>25293</v>
      </c>
      <c r="B629" s="29" t="e">
        <f>NA()</f>
        <v>#N/A</v>
      </c>
      <c r="C629" s="29" t="e">
        <v>#N/A</v>
      </c>
      <c r="D629" s="50">
        <f>57.1</f>
        <v>57.1</v>
      </c>
      <c r="E629" s="30">
        <v>57.1</v>
      </c>
      <c r="F629" s="29">
        <f>33.9</f>
        <v>33.9</v>
      </c>
      <c r="G629" s="31" t="e">
        <v>#N/A</v>
      </c>
      <c r="H629" s="51" t="e">
        <f t="shared" si="46"/>
        <v>#N/A</v>
      </c>
      <c r="I629" s="29">
        <f>6.4</f>
        <v>6.4</v>
      </c>
      <c r="J629" s="31">
        <v>6.82</v>
      </c>
      <c r="K629" s="51">
        <f t="shared" si="47"/>
        <v>6.3962558502340117E-2</v>
      </c>
      <c r="L629" s="29">
        <f>10.4</f>
        <v>10.4</v>
      </c>
      <c r="M629" s="30">
        <v>10.4</v>
      </c>
      <c r="N629" s="29" t="e">
        <f>NA()</f>
        <v>#N/A</v>
      </c>
      <c r="O629" s="29" t="e">
        <v>#N/A</v>
      </c>
      <c r="P629" s="51" t="e">
        <f t="shared" si="45"/>
        <v>#N/A</v>
      </c>
      <c r="Q629" s="29" t="e">
        <f>NA()</f>
        <v>#N/A</v>
      </c>
      <c r="R629" s="43" t="e">
        <v>#N/A</v>
      </c>
      <c r="S629" s="32" t="e">
        <f t="shared" si="48"/>
        <v>#N/A</v>
      </c>
      <c r="T629" s="54" t="e">
        <f>VLOOKUP(A629,[1]인포맥스!$A:$I,9,0)</f>
        <v>#N/A</v>
      </c>
      <c r="U629" s="70" t="e">
        <f t="shared" si="49"/>
        <v>#N/A</v>
      </c>
    </row>
    <row r="630" spans="1:21" x14ac:dyDescent="0.25">
      <c r="A630" s="3">
        <v>25262</v>
      </c>
      <c r="B630" s="29" t="e">
        <f>NA()</f>
        <v>#N/A</v>
      </c>
      <c r="C630" s="29" t="e">
        <v>#N/A</v>
      </c>
      <c r="D630" s="50">
        <f>57</f>
        <v>57</v>
      </c>
      <c r="E630" s="30">
        <v>57</v>
      </c>
      <c r="F630" s="29">
        <f>22.6</f>
        <v>22.6</v>
      </c>
      <c r="G630" s="31" t="e">
        <v>#N/A</v>
      </c>
      <c r="H630" s="51" t="e">
        <f t="shared" si="46"/>
        <v>#N/A</v>
      </c>
      <c r="I630" s="29">
        <f>6.8</f>
        <v>6.8</v>
      </c>
      <c r="J630" s="31">
        <v>6.8</v>
      </c>
      <c r="K630" s="51">
        <f t="shared" si="47"/>
        <v>6.7503924646781746E-2</v>
      </c>
      <c r="L630" s="29">
        <f>10.7</f>
        <v>10.7</v>
      </c>
      <c r="M630" s="30">
        <v>10.7</v>
      </c>
      <c r="N630" s="29" t="e">
        <f>NA()</f>
        <v>#N/A</v>
      </c>
      <c r="O630" s="29" t="e">
        <v>#N/A</v>
      </c>
      <c r="P630" s="51" t="e">
        <f t="shared" si="45"/>
        <v>#N/A</v>
      </c>
      <c r="Q630" s="29" t="e">
        <f>NA()</f>
        <v>#N/A</v>
      </c>
      <c r="R630" s="43" t="e">
        <v>#N/A</v>
      </c>
      <c r="S630" s="32" t="e">
        <f t="shared" si="48"/>
        <v>#N/A</v>
      </c>
      <c r="T630" s="54" t="e">
        <f>VLOOKUP(A630,[1]인포맥스!$A:$I,9,0)</f>
        <v>#N/A</v>
      </c>
      <c r="U630" s="70" t="e">
        <f t="shared" si="49"/>
        <v>#N/A</v>
      </c>
    </row>
    <row r="631" spans="1:21" x14ac:dyDescent="0.25">
      <c r="A631" s="3">
        <v>25234</v>
      </c>
      <c r="B631" s="29" t="e">
        <f>NA()</f>
        <v>#N/A</v>
      </c>
      <c r="C631" s="29" t="e">
        <v>#N/A</v>
      </c>
      <c r="D631" s="50">
        <f>54.9</f>
        <v>54.9</v>
      </c>
      <c r="E631" s="30">
        <v>54.9</v>
      </c>
      <c r="F631" s="29">
        <f>34.6</f>
        <v>34.6</v>
      </c>
      <c r="G631" s="31" t="e">
        <v>#N/A</v>
      </c>
      <c r="H631" s="51" t="e">
        <f t="shared" si="46"/>
        <v>#N/A</v>
      </c>
      <c r="I631" s="29">
        <f>7.3</f>
        <v>7.3</v>
      </c>
      <c r="J631" s="31">
        <v>6.73</v>
      </c>
      <c r="K631" s="51">
        <f t="shared" si="47"/>
        <v>7.3365231259968244E-2</v>
      </c>
      <c r="L631" s="29">
        <f>11.7</f>
        <v>11.7</v>
      </c>
      <c r="M631" s="30">
        <v>11.7</v>
      </c>
      <c r="N631" s="29" t="e">
        <f>NA()</f>
        <v>#N/A</v>
      </c>
      <c r="O631" s="29" t="e">
        <v>#N/A</v>
      </c>
      <c r="P631" s="51" t="e">
        <f t="shared" si="45"/>
        <v>#N/A</v>
      </c>
      <c r="Q631" s="29" t="e">
        <f>NA()</f>
        <v>#N/A</v>
      </c>
      <c r="R631" s="43" t="e">
        <v>#N/A</v>
      </c>
      <c r="S631" s="32" t="e">
        <f t="shared" si="48"/>
        <v>#N/A</v>
      </c>
      <c r="T631" s="54" t="e">
        <f>VLOOKUP(A631,[1]인포맥스!$A:$I,9,0)</f>
        <v>#N/A</v>
      </c>
      <c r="U631" s="70" t="e">
        <f t="shared" si="49"/>
        <v>#N/A</v>
      </c>
    </row>
    <row r="632" spans="1:21" x14ac:dyDescent="0.25">
      <c r="A632" s="3">
        <v>25203</v>
      </c>
      <c r="B632" s="29" t="e">
        <f>NA()</f>
        <v>#N/A</v>
      </c>
      <c r="C632" s="29" t="e">
        <v>#N/A</v>
      </c>
      <c r="D632" s="50">
        <f>56.1</f>
        <v>56.1</v>
      </c>
      <c r="E632" s="30">
        <v>56.1</v>
      </c>
      <c r="F632" s="29">
        <f>39.2</f>
        <v>39.200000000000003</v>
      </c>
      <c r="G632" s="31" t="e">
        <v>#N/A</v>
      </c>
      <c r="H632" s="51" t="e">
        <f t="shared" si="46"/>
        <v>#N/A</v>
      </c>
      <c r="I632" s="29">
        <f>7.3</f>
        <v>7.3</v>
      </c>
      <c r="J632" s="31">
        <v>6.62</v>
      </c>
      <c r="K632" s="51">
        <f t="shared" si="47"/>
        <v>7.2933549432739095E-2</v>
      </c>
      <c r="L632" s="29">
        <f>11</f>
        <v>11</v>
      </c>
      <c r="M632" s="30">
        <v>11</v>
      </c>
      <c r="N632" s="29" t="e">
        <f>NA()</f>
        <v>#N/A</v>
      </c>
      <c r="O632" s="29" t="e">
        <v>#N/A</v>
      </c>
      <c r="P632" s="51" t="e">
        <f t="shared" si="45"/>
        <v>#N/A</v>
      </c>
      <c r="Q632" s="29" t="e">
        <f>NA()</f>
        <v>#N/A</v>
      </c>
      <c r="R632" s="43" t="e">
        <v>#N/A</v>
      </c>
      <c r="S632" s="32" t="e">
        <f t="shared" si="48"/>
        <v>#N/A</v>
      </c>
      <c r="T632" s="54" t="e">
        <f>VLOOKUP(A632,[1]인포맥스!$A:$I,9,0)</f>
        <v>#N/A</v>
      </c>
      <c r="U632" s="70" t="e">
        <f t="shared" si="49"/>
        <v>#N/A</v>
      </c>
    </row>
    <row r="633" spans="1:21" x14ac:dyDescent="0.25">
      <c r="A633" s="3">
        <v>25172</v>
      </c>
      <c r="B633" s="29" t="e">
        <f>NA()</f>
        <v>#N/A</v>
      </c>
      <c r="C633" s="29" t="e">
        <v>#N/A</v>
      </c>
      <c r="D633" s="50">
        <f>58.1</f>
        <v>58.1</v>
      </c>
      <c r="E633" s="30">
        <v>58.1</v>
      </c>
      <c r="F633" s="29">
        <f>30.8</f>
        <v>30.8</v>
      </c>
      <c r="G633" s="31" t="e">
        <v>#N/A</v>
      </c>
      <c r="H633" s="51" t="e">
        <f t="shared" si="46"/>
        <v>#N/A</v>
      </c>
      <c r="I633" s="29">
        <f>8.4</f>
        <v>8.4</v>
      </c>
      <c r="J633" s="31">
        <v>6.68</v>
      </c>
      <c r="K633" s="51">
        <f t="shared" si="47"/>
        <v>8.4415584415584347E-2</v>
      </c>
      <c r="L633" s="29">
        <f>11.6</f>
        <v>11.6</v>
      </c>
      <c r="M633" s="30">
        <v>11.6</v>
      </c>
      <c r="N633" s="29" t="e">
        <f>NA()</f>
        <v>#N/A</v>
      </c>
      <c r="O633" s="29" t="e">
        <v>#N/A</v>
      </c>
      <c r="P633" s="51" t="e">
        <f t="shared" si="45"/>
        <v>#N/A</v>
      </c>
      <c r="Q633" s="29" t="e">
        <f>NA()</f>
        <v>#N/A</v>
      </c>
      <c r="R633" s="43" t="e">
        <v>#N/A</v>
      </c>
      <c r="S633" s="32" t="e">
        <f t="shared" si="48"/>
        <v>#N/A</v>
      </c>
      <c r="T633" s="54" t="e">
        <f>VLOOKUP(A633,[1]인포맥스!$A:$I,9,0)</f>
        <v>#N/A</v>
      </c>
      <c r="U633" s="70" t="e">
        <f t="shared" si="49"/>
        <v>#N/A</v>
      </c>
    </row>
    <row r="634" spans="1:21" x14ac:dyDescent="0.25">
      <c r="A634" s="3">
        <v>25142</v>
      </c>
      <c r="B634" s="29" t="e">
        <f>NA()</f>
        <v>#N/A</v>
      </c>
      <c r="C634" s="29" t="e">
        <v>#N/A</v>
      </c>
      <c r="D634" s="50">
        <f>55.8</f>
        <v>55.8</v>
      </c>
      <c r="E634" s="30">
        <v>55.8</v>
      </c>
      <c r="F634" s="29">
        <f>17.3</f>
        <v>17.3</v>
      </c>
      <c r="G634" s="31" t="e">
        <v>#N/A</v>
      </c>
      <c r="H634" s="51" t="e">
        <f t="shared" si="46"/>
        <v>#N/A</v>
      </c>
      <c r="I634" s="29">
        <f>7.7</f>
        <v>7.7</v>
      </c>
      <c r="J634" s="31">
        <v>6.59</v>
      </c>
      <c r="K634" s="51">
        <f t="shared" si="47"/>
        <v>7.6797385620914996E-2</v>
      </c>
      <c r="L634" s="29">
        <f>9.8</f>
        <v>9.8000000000000007</v>
      </c>
      <c r="M634" s="30">
        <v>9.8000000000000007</v>
      </c>
      <c r="N634" s="29" t="e">
        <f>NA()</f>
        <v>#N/A</v>
      </c>
      <c r="O634" s="29" t="e">
        <v>#N/A</v>
      </c>
      <c r="P634" s="51" t="e">
        <f t="shared" si="45"/>
        <v>#N/A</v>
      </c>
      <c r="Q634" s="29" t="e">
        <f>NA()</f>
        <v>#N/A</v>
      </c>
      <c r="R634" s="43" t="e">
        <v>#N/A</v>
      </c>
      <c r="S634" s="32" t="e">
        <f t="shared" si="48"/>
        <v>#N/A</v>
      </c>
      <c r="T634" s="54" t="e">
        <f>VLOOKUP(A634,[1]인포맥스!$A:$I,9,0)</f>
        <v>#N/A</v>
      </c>
      <c r="U634" s="70" t="e">
        <f t="shared" si="49"/>
        <v>#N/A</v>
      </c>
    </row>
    <row r="635" spans="1:21" x14ac:dyDescent="0.25">
      <c r="A635" s="3">
        <v>25111</v>
      </c>
      <c r="B635" s="29" t="e">
        <f>NA()</f>
        <v>#N/A</v>
      </c>
      <c r="C635" s="29" t="e">
        <v>#N/A</v>
      </c>
      <c r="D635" s="50">
        <f>51.8</f>
        <v>51.8</v>
      </c>
      <c r="E635" s="30">
        <v>51.8</v>
      </c>
      <c r="F635" s="29">
        <f>62.2</f>
        <v>62.2</v>
      </c>
      <c r="G635" s="31" t="e">
        <v>#N/A</v>
      </c>
      <c r="H635" s="51" t="e">
        <f t="shared" si="46"/>
        <v>#N/A</v>
      </c>
      <c r="I635" s="29">
        <f>6.2</f>
        <v>6.2</v>
      </c>
      <c r="J635" s="31">
        <v>6.49</v>
      </c>
      <c r="K635" s="51">
        <f t="shared" si="47"/>
        <v>6.2193126022913235E-2</v>
      </c>
      <c r="L635" s="29">
        <f>8.6</f>
        <v>8.6</v>
      </c>
      <c r="M635" s="30">
        <v>8.6</v>
      </c>
      <c r="N635" s="29" t="e">
        <f>NA()</f>
        <v>#N/A</v>
      </c>
      <c r="O635" s="29" t="e">
        <v>#N/A</v>
      </c>
      <c r="P635" s="51" t="e">
        <f t="shared" si="45"/>
        <v>#N/A</v>
      </c>
      <c r="Q635" s="29" t="e">
        <f>NA()</f>
        <v>#N/A</v>
      </c>
      <c r="R635" s="43" t="e">
        <v>#N/A</v>
      </c>
      <c r="S635" s="32" t="e">
        <f t="shared" si="48"/>
        <v>#N/A</v>
      </c>
      <c r="T635" s="54" t="e">
        <f>VLOOKUP(A635,[1]인포맥스!$A:$I,9,0)</f>
        <v>#N/A</v>
      </c>
      <c r="U635" s="70" t="e">
        <f t="shared" si="49"/>
        <v>#N/A</v>
      </c>
    </row>
    <row r="636" spans="1:21" x14ac:dyDescent="0.25">
      <c r="A636" s="3">
        <v>25081</v>
      </c>
      <c r="B636" s="29" t="e">
        <f>NA()</f>
        <v>#N/A</v>
      </c>
      <c r="C636" s="29" t="e">
        <v>#N/A</v>
      </c>
      <c r="D636" s="50">
        <f>52.7</f>
        <v>52.7</v>
      </c>
      <c r="E636" s="30">
        <v>52.7</v>
      </c>
      <c r="F636" s="29">
        <f>42.5</f>
        <v>42.5</v>
      </c>
      <c r="G636" s="31" t="e">
        <v>#N/A</v>
      </c>
      <c r="H636" s="51" t="e">
        <f t="shared" si="46"/>
        <v>#N/A</v>
      </c>
      <c r="I636" s="29">
        <f>6.9</f>
        <v>6.9</v>
      </c>
      <c r="J636" s="31">
        <v>6.5</v>
      </c>
      <c r="K636" s="51">
        <f t="shared" si="47"/>
        <v>6.9078947368421045E-2</v>
      </c>
      <c r="L636" s="29">
        <f>9.8</f>
        <v>9.8000000000000007</v>
      </c>
      <c r="M636" s="30">
        <v>9.8000000000000007</v>
      </c>
      <c r="N636" s="29" t="e">
        <f>NA()</f>
        <v>#N/A</v>
      </c>
      <c r="O636" s="29" t="e">
        <v>#N/A</v>
      </c>
      <c r="P636" s="51" t="e">
        <f t="shared" si="45"/>
        <v>#N/A</v>
      </c>
      <c r="Q636" s="29" t="e">
        <f>NA()</f>
        <v>#N/A</v>
      </c>
      <c r="R636" s="43" t="e">
        <v>#N/A</v>
      </c>
      <c r="S636" s="32" t="e">
        <f t="shared" si="48"/>
        <v>#N/A</v>
      </c>
      <c r="T636" s="54" t="e">
        <f>VLOOKUP(A636,[1]인포맥스!$A:$I,9,0)</f>
        <v>#N/A</v>
      </c>
      <c r="U636" s="70" t="e">
        <f t="shared" si="49"/>
        <v>#N/A</v>
      </c>
    </row>
    <row r="637" spans="1:21" x14ac:dyDescent="0.25">
      <c r="A637" s="3">
        <v>25050</v>
      </c>
      <c r="B637" s="29" t="e">
        <f>NA()</f>
        <v>#N/A</v>
      </c>
      <c r="C637" s="29" t="e">
        <v>#N/A</v>
      </c>
      <c r="D637" s="50">
        <f>54.1</f>
        <v>54.1</v>
      </c>
      <c r="E637" s="30">
        <v>54.1</v>
      </c>
      <c r="F637" s="29">
        <f>59.5</f>
        <v>59.5</v>
      </c>
      <c r="G637" s="31" t="e">
        <v>#N/A</v>
      </c>
      <c r="H637" s="51" t="e">
        <f t="shared" si="46"/>
        <v>#N/A</v>
      </c>
      <c r="I637" s="29">
        <f>7.5</f>
        <v>7.5</v>
      </c>
      <c r="J637" s="31">
        <v>6.49</v>
      </c>
      <c r="K637" s="51">
        <f t="shared" si="47"/>
        <v>7.4503311258278179E-2</v>
      </c>
      <c r="L637" s="29">
        <f>10.4</f>
        <v>10.4</v>
      </c>
      <c r="M637" s="30">
        <v>10.4</v>
      </c>
      <c r="N637" s="29" t="e">
        <f>NA()</f>
        <v>#N/A</v>
      </c>
      <c r="O637" s="29" t="e">
        <v>#N/A</v>
      </c>
      <c r="P637" s="51" t="e">
        <f t="shared" si="45"/>
        <v>#N/A</v>
      </c>
      <c r="Q637" s="29" t="e">
        <f>NA()</f>
        <v>#N/A</v>
      </c>
      <c r="R637" s="43" t="e">
        <v>#N/A</v>
      </c>
      <c r="S637" s="32" t="e">
        <f t="shared" si="48"/>
        <v>#N/A</v>
      </c>
      <c r="T637" s="54" t="e">
        <f>VLOOKUP(A637,[1]인포맥스!$A:$I,9,0)</f>
        <v>#N/A</v>
      </c>
      <c r="U637" s="70" t="e">
        <f t="shared" si="49"/>
        <v>#N/A</v>
      </c>
    </row>
    <row r="638" spans="1:21" x14ac:dyDescent="0.25">
      <c r="A638" s="3">
        <v>25019</v>
      </c>
      <c r="B638" s="29" t="e">
        <f>NA()</f>
        <v>#N/A</v>
      </c>
      <c r="C638" s="29" t="e">
        <v>#N/A</v>
      </c>
      <c r="D638" s="50">
        <f>53.5</f>
        <v>53.5</v>
      </c>
      <c r="E638" s="30">
        <v>53.5</v>
      </c>
      <c r="F638" s="29">
        <f>47.8</f>
        <v>47.8</v>
      </c>
      <c r="G638" s="31" t="e">
        <v>#N/A</v>
      </c>
      <c r="H638" s="51" t="e">
        <f t="shared" si="46"/>
        <v>#N/A</v>
      </c>
      <c r="I638" s="29">
        <f>7.6</f>
        <v>7.6</v>
      </c>
      <c r="J638" s="31">
        <v>6.48</v>
      </c>
      <c r="K638" s="51">
        <f t="shared" si="47"/>
        <v>7.6411960132890519E-2</v>
      </c>
      <c r="L638" s="29">
        <f>10.6</f>
        <v>10.6</v>
      </c>
      <c r="M638" s="30">
        <v>10.6</v>
      </c>
      <c r="N638" s="29" t="e">
        <f>NA()</f>
        <v>#N/A</v>
      </c>
      <c r="O638" s="29" t="e">
        <v>#N/A</v>
      </c>
      <c r="P638" s="51" t="e">
        <f t="shared" si="45"/>
        <v>#N/A</v>
      </c>
      <c r="Q638" s="29" t="e">
        <f>NA()</f>
        <v>#N/A</v>
      </c>
      <c r="R638" s="43" t="e">
        <v>#N/A</v>
      </c>
      <c r="S638" s="32" t="e">
        <f t="shared" si="48"/>
        <v>#N/A</v>
      </c>
      <c r="T638" s="54" t="e">
        <f>VLOOKUP(A638,[1]인포맥스!$A:$I,9,0)</f>
        <v>#N/A</v>
      </c>
      <c r="U638" s="70" t="e">
        <f t="shared" si="49"/>
        <v>#N/A</v>
      </c>
    </row>
    <row r="639" spans="1:21" x14ac:dyDescent="0.25">
      <c r="A639" s="3">
        <v>24989</v>
      </c>
      <c r="B639" s="29" t="e">
        <f>NA()</f>
        <v>#N/A</v>
      </c>
      <c r="C639" s="29" t="e">
        <v>#N/A</v>
      </c>
      <c r="D639" s="50">
        <f>55.3</f>
        <v>55.3</v>
      </c>
      <c r="E639" s="30">
        <v>55.3</v>
      </c>
      <c r="F639" s="29">
        <f>42.4</f>
        <v>42.4</v>
      </c>
      <c r="G639" s="31" t="e">
        <v>#N/A</v>
      </c>
      <c r="H639" s="51" t="e">
        <f t="shared" si="46"/>
        <v>#N/A</v>
      </c>
      <c r="I639" s="29">
        <f>7.7</f>
        <v>7.7</v>
      </c>
      <c r="J639" s="31">
        <v>6.46</v>
      </c>
      <c r="K639" s="51">
        <f t="shared" si="47"/>
        <v>7.6666666666666661E-2</v>
      </c>
      <c r="L639" s="29">
        <f>9</f>
        <v>9</v>
      </c>
      <c r="M639" s="30">
        <v>9</v>
      </c>
      <c r="N639" s="29" t="e">
        <f>NA()</f>
        <v>#N/A</v>
      </c>
      <c r="O639" s="29" t="e">
        <v>#N/A</v>
      </c>
      <c r="P639" s="51" t="e">
        <f t="shared" si="45"/>
        <v>#N/A</v>
      </c>
      <c r="Q639" s="29" t="e">
        <f>NA()</f>
        <v>#N/A</v>
      </c>
      <c r="R639" s="43" t="e">
        <v>#N/A</v>
      </c>
      <c r="S639" s="32" t="e">
        <f t="shared" si="48"/>
        <v>#N/A</v>
      </c>
      <c r="T639" s="54" t="e">
        <f>VLOOKUP(A639,[1]인포맥스!$A:$I,9,0)</f>
        <v>#N/A</v>
      </c>
      <c r="U639" s="70" t="e">
        <f t="shared" si="49"/>
        <v>#N/A</v>
      </c>
    </row>
    <row r="640" spans="1:21" x14ac:dyDescent="0.25">
      <c r="A640" s="3">
        <v>24958</v>
      </c>
      <c r="B640" s="29" t="e">
        <f>NA()</f>
        <v>#N/A</v>
      </c>
      <c r="C640" s="29" t="e">
        <v>#N/A</v>
      </c>
      <c r="D640" s="50">
        <f>58</f>
        <v>58</v>
      </c>
      <c r="E640" s="30">
        <v>58</v>
      </c>
      <c r="F640" s="29">
        <f>64.7</f>
        <v>64.7</v>
      </c>
      <c r="G640" s="31" t="e">
        <v>#N/A</v>
      </c>
      <c r="H640" s="51" t="e">
        <f t="shared" si="46"/>
        <v>#N/A</v>
      </c>
      <c r="I640" s="29">
        <f>8.8</f>
        <v>8.8000000000000007</v>
      </c>
      <c r="J640" s="31">
        <v>6.44</v>
      </c>
      <c r="K640" s="51">
        <f t="shared" si="47"/>
        <v>8.7837837837837912E-2</v>
      </c>
      <c r="L640" s="29">
        <f>9.8</f>
        <v>9.8000000000000007</v>
      </c>
      <c r="M640" s="30">
        <v>9.8000000000000007</v>
      </c>
      <c r="N640" s="29" t="e">
        <f>NA()</f>
        <v>#N/A</v>
      </c>
      <c r="O640" s="29" t="e">
        <v>#N/A</v>
      </c>
      <c r="P640" s="51" t="e">
        <f t="shared" si="45"/>
        <v>#N/A</v>
      </c>
      <c r="Q640" s="29" t="e">
        <f>NA()</f>
        <v>#N/A</v>
      </c>
      <c r="R640" s="43" t="e">
        <v>#N/A</v>
      </c>
      <c r="S640" s="32" t="e">
        <f t="shared" si="48"/>
        <v>#N/A</v>
      </c>
      <c r="T640" s="54" t="e">
        <f>VLOOKUP(A640,[1]인포맥스!$A:$I,9,0)</f>
        <v>#N/A</v>
      </c>
      <c r="U640" s="70" t="e">
        <f t="shared" si="49"/>
        <v>#N/A</v>
      </c>
    </row>
    <row r="641" spans="1:21" x14ac:dyDescent="0.25">
      <c r="A641" s="3">
        <v>24928</v>
      </c>
      <c r="B641" s="29" t="e">
        <f>NA()</f>
        <v>#N/A</v>
      </c>
      <c r="C641" s="29" t="e">
        <v>#N/A</v>
      </c>
      <c r="D641" s="50">
        <f>53.8</f>
        <v>53.8</v>
      </c>
      <c r="E641" s="30">
        <v>53.8</v>
      </c>
      <c r="F641" s="29">
        <f>32</f>
        <v>32</v>
      </c>
      <c r="G641" s="31" t="e">
        <v>#N/A</v>
      </c>
      <c r="H641" s="51" t="e">
        <f t="shared" si="46"/>
        <v>#N/A</v>
      </c>
      <c r="I641" s="29">
        <f>10.5</f>
        <v>10.5</v>
      </c>
      <c r="J641" s="31">
        <v>6.41</v>
      </c>
      <c r="K641" s="51">
        <f t="shared" si="47"/>
        <v>0.10517241379310351</v>
      </c>
      <c r="L641" s="29">
        <f>12.8</f>
        <v>12.8</v>
      </c>
      <c r="M641" s="30">
        <v>12.8</v>
      </c>
      <c r="N641" s="29" t="e">
        <f>NA()</f>
        <v>#N/A</v>
      </c>
      <c r="O641" s="29" t="e">
        <v>#N/A</v>
      </c>
      <c r="P641" s="51" t="e">
        <f t="shared" si="45"/>
        <v>#N/A</v>
      </c>
      <c r="Q641" s="29" t="e">
        <f>NA()</f>
        <v>#N/A</v>
      </c>
      <c r="R641" s="43" t="e">
        <v>#N/A</v>
      </c>
      <c r="S641" s="32" t="e">
        <f t="shared" si="48"/>
        <v>#N/A</v>
      </c>
      <c r="T641" s="54" t="e">
        <f>VLOOKUP(A641,[1]인포맥스!$A:$I,9,0)</f>
        <v>#N/A</v>
      </c>
      <c r="U641" s="70" t="e">
        <f t="shared" si="49"/>
        <v>#N/A</v>
      </c>
    </row>
    <row r="642" spans="1:21" x14ac:dyDescent="0.25">
      <c r="A642" s="3">
        <v>24897</v>
      </c>
      <c r="B642" s="29" t="e">
        <f>NA()</f>
        <v>#N/A</v>
      </c>
      <c r="C642" s="29" t="e">
        <v>#N/A</v>
      </c>
      <c r="D642" s="50">
        <f>55</f>
        <v>55</v>
      </c>
      <c r="E642" s="30">
        <v>55</v>
      </c>
      <c r="F642" s="29">
        <f>33.8</f>
        <v>33.799999999999997</v>
      </c>
      <c r="G642" s="31" t="e">
        <v>#N/A</v>
      </c>
      <c r="H642" s="51" t="e">
        <f t="shared" si="46"/>
        <v>#N/A</v>
      </c>
      <c r="I642" s="29">
        <f>10.4</f>
        <v>10.4</v>
      </c>
      <c r="J642" s="31">
        <v>6.37</v>
      </c>
      <c r="K642" s="51">
        <f t="shared" si="47"/>
        <v>0.10398613518197583</v>
      </c>
      <c r="L642" s="29">
        <f>13.2</f>
        <v>13.2</v>
      </c>
      <c r="M642" s="30">
        <v>13.2</v>
      </c>
      <c r="N642" s="29" t="e">
        <f>NA()</f>
        <v>#N/A</v>
      </c>
      <c r="O642" s="29" t="e">
        <v>#N/A</v>
      </c>
      <c r="P642" s="51" t="e">
        <f t="shared" si="45"/>
        <v>#N/A</v>
      </c>
      <c r="Q642" s="29" t="e">
        <f>NA()</f>
        <v>#N/A</v>
      </c>
      <c r="R642" s="43" t="e">
        <v>#N/A</v>
      </c>
      <c r="S642" s="32" t="e">
        <f t="shared" si="48"/>
        <v>#N/A</v>
      </c>
      <c r="T642" s="54" t="e">
        <f>VLOOKUP(A642,[1]인포맥스!$A:$I,9,0)</f>
        <v>#N/A</v>
      </c>
      <c r="U642" s="70" t="e">
        <f t="shared" si="49"/>
        <v>#N/A</v>
      </c>
    </row>
    <row r="643" spans="1:21" x14ac:dyDescent="0.25">
      <c r="A643" s="3">
        <v>24868</v>
      </c>
      <c r="B643" s="29" t="e">
        <f>NA()</f>
        <v>#N/A</v>
      </c>
      <c r="C643" s="29" t="e">
        <v>#N/A</v>
      </c>
      <c r="D643" s="50">
        <f>56.6</f>
        <v>56.6</v>
      </c>
      <c r="E643" s="30">
        <v>56.6</v>
      </c>
      <c r="F643" s="29">
        <f>47.2</f>
        <v>47.2</v>
      </c>
      <c r="G643" s="31" t="e">
        <v>#N/A</v>
      </c>
      <c r="H643" s="51" t="e">
        <f t="shared" si="46"/>
        <v>#N/A</v>
      </c>
      <c r="I643" s="29">
        <f>9.4</f>
        <v>9.4</v>
      </c>
      <c r="J643" s="31">
        <v>6.27</v>
      </c>
      <c r="K643" s="51">
        <f t="shared" si="47"/>
        <v>9.4240837696334928E-2</v>
      </c>
      <c r="L643" s="29">
        <f>13.1</f>
        <v>13.1</v>
      </c>
      <c r="M643" s="30">
        <v>13.1</v>
      </c>
      <c r="N643" s="29" t="e">
        <f>NA()</f>
        <v>#N/A</v>
      </c>
      <c r="O643" s="29" t="e">
        <v>#N/A</v>
      </c>
      <c r="P643" s="51" t="e">
        <f t="shared" si="45"/>
        <v>#N/A</v>
      </c>
      <c r="Q643" s="29" t="e">
        <f>NA()</f>
        <v>#N/A</v>
      </c>
      <c r="R643" s="43" t="e">
        <v>#N/A</v>
      </c>
      <c r="S643" s="32" t="e">
        <f t="shared" si="48"/>
        <v>#N/A</v>
      </c>
      <c r="T643" s="54" t="e">
        <f>VLOOKUP(A643,[1]인포맥스!$A:$I,9,0)</f>
        <v>#N/A</v>
      </c>
      <c r="U643" s="70" t="e">
        <f t="shared" si="49"/>
        <v>#N/A</v>
      </c>
    </row>
    <row r="644" spans="1:21" x14ac:dyDescent="0.25">
      <c r="A644" s="3">
        <v>24837</v>
      </c>
      <c r="B644" s="29" t="e">
        <f>NA()</f>
        <v>#N/A</v>
      </c>
      <c r="C644" s="29" t="e">
        <v>#N/A</v>
      </c>
      <c r="D644" s="50">
        <f>55.6</f>
        <v>55.6</v>
      </c>
      <c r="E644" s="30">
        <v>55.6</v>
      </c>
      <c r="F644" s="29">
        <f>30.8</f>
        <v>30.8</v>
      </c>
      <c r="G644" s="31" t="e">
        <v>#N/A</v>
      </c>
      <c r="H644" s="51" t="e">
        <f t="shared" si="46"/>
        <v>#N/A</v>
      </c>
      <c r="I644" s="29">
        <f>7.1</f>
        <v>7.1</v>
      </c>
      <c r="J644" s="31">
        <v>6.17</v>
      </c>
      <c r="K644" s="51">
        <f t="shared" si="47"/>
        <v>7.118055555555558E-2</v>
      </c>
      <c r="L644" s="29">
        <f>11.6</f>
        <v>11.6</v>
      </c>
      <c r="M644" s="30">
        <v>11.6</v>
      </c>
      <c r="N644" s="29" t="e">
        <f>NA()</f>
        <v>#N/A</v>
      </c>
      <c r="O644" s="29" t="e">
        <v>#N/A</v>
      </c>
      <c r="P644" s="51" t="e">
        <f t="shared" si="45"/>
        <v>#N/A</v>
      </c>
      <c r="Q644" s="29" t="e">
        <f>NA()</f>
        <v>#N/A</v>
      </c>
      <c r="R644" s="43" t="e">
        <v>#N/A</v>
      </c>
      <c r="S644" s="32" t="e">
        <f t="shared" si="48"/>
        <v>#N/A</v>
      </c>
      <c r="T644" s="54" t="e">
        <f>VLOOKUP(A644,[1]인포맥스!$A:$I,9,0)</f>
        <v>#N/A</v>
      </c>
      <c r="U644" s="70" t="e">
        <f t="shared" si="49"/>
        <v>#N/A</v>
      </c>
    </row>
    <row r="645" spans="1:21" x14ac:dyDescent="0.25">
      <c r="A645" s="3">
        <v>24806</v>
      </c>
      <c r="B645" s="29" t="e">
        <f>NA()</f>
        <v>#N/A</v>
      </c>
      <c r="C645" s="29" t="e">
        <v>#N/A</v>
      </c>
      <c r="D645" s="50">
        <f>54.2</f>
        <v>54.2</v>
      </c>
      <c r="E645" s="30">
        <v>54.2</v>
      </c>
      <c r="F645" s="29">
        <f>51</f>
        <v>51</v>
      </c>
      <c r="G645" s="31" t="e">
        <v>#N/A</v>
      </c>
      <c r="H645" s="51" t="e">
        <f t="shared" si="46"/>
        <v>#N/A</v>
      </c>
      <c r="I645" s="29">
        <f>7.3</f>
        <v>7.3</v>
      </c>
      <c r="J645" s="31">
        <v>6.16</v>
      </c>
      <c r="K645" s="51">
        <f t="shared" si="47"/>
        <v>7.3170731707317055E-2</v>
      </c>
      <c r="L645" s="29">
        <f>11.7</f>
        <v>11.7</v>
      </c>
      <c r="M645" s="30">
        <v>11.7</v>
      </c>
      <c r="N645" s="29" t="e">
        <f>NA()</f>
        <v>#N/A</v>
      </c>
      <c r="O645" s="29" t="e">
        <v>#N/A</v>
      </c>
      <c r="P645" s="51" t="e">
        <f t="shared" ref="P645:P708" si="50">(O645-O657)/O657</f>
        <v>#N/A</v>
      </c>
      <c r="Q645" s="29" t="e">
        <f>NA()</f>
        <v>#N/A</v>
      </c>
      <c r="R645" s="43" t="e">
        <v>#N/A</v>
      </c>
      <c r="S645" s="32" t="e">
        <f t="shared" si="48"/>
        <v>#N/A</v>
      </c>
      <c r="T645" s="54" t="e">
        <f>VLOOKUP(A645,[1]인포맥스!$A:$I,9,0)</f>
        <v>#N/A</v>
      </c>
      <c r="U645" s="70" t="e">
        <f t="shared" si="49"/>
        <v>#N/A</v>
      </c>
    </row>
    <row r="646" spans="1:21" x14ac:dyDescent="0.25">
      <c r="A646" s="3">
        <v>24776</v>
      </c>
      <c r="B646" s="29" t="e">
        <f>NA()</f>
        <v>#N/A</v>
      </c>
      <c r="C646" s="29" t="e">
        <v>#N/A</v>
      </c>
      <c r="D646" s="50">
        <f>54.1</f>
        <v>54.1</v>
      </c>
      <c r="E646" s="30">
        <v>54.1</v>
      </c>
      <c r="F646" s="29">
        <f>78.1</f>
        <v>78.099999999999994</v>
      </c>
      <c r="G646" s="31" t="e">
        <v>#N/A</v>
      </c>
      <c r="H646" s="51" t="e">
        <f t="shared" ref="H646:H709" si="51">(G646-G658)/G658</f>
        <v>#N/A</v>
      </c>
      <c r="I646" s="29">
        <f>5.9</f>
        <v>5.9</v>
      </c>
      <c r="J646" s="31">
        <v>6.12</v>
      </c>
      <c r="K646" s="51">
        <f t="shared" ref="K646:K709" si="52">(J646-J658)/J658</f>
        <v>5.8823529411764677E-2</v>
      </c>
      <c r="L646" s="29">
        <f>8.2</f>
        <v>8.1999999999999993</v>
      </c>
      <c r="M646" s="30">
        <v>8.1999999999999993</v>
      </c>
      <c r="N646" s="29" t="e">
        <f>NA()</f>
        <v>#N/A</v>
      </c>
      <c r="O646" s="29" t="e">
        <v>#N/A</v>
      </c>
      <c r="P646" s="51" t="e">
        <f t="shared" si="50"/>
        <v>#N/A</v>
      </c>
      <c r="Q646" s="29" t="e">
        <f>NA()</f>
        <v>#N/A</v>
      </c>
      <c r="R646" s="43" t="e">
        <v>#N/A</v>
      </c>
      <c r="S646" s="32" t="e">
        <f t="shared" ref="S646:S709" si="53">(R646-R658)/R658</f>
        <v>#N/A</v>
      </c>
      <c r="T646" s="54" t="e">
        <f>VLOOKUP(A646,[1]인포맥스!$A:$I,9,0)</f>
        <v>#N/A</v>
      </c>
      <c r="U646" s="70" t="e">
        <f t="shared" ref="U646:U709" si="54">(T646-T658)/T658</f>
        <v>#N/A</v>
      </c>
    </row>
    <row r="647" spans="1:21" x14ac:dyDescent="0.25">
      <c r="A647" s="3">
        <v>24745</v>
      </c>
      <c r="B647" s="29" t="e">
        <f>NA()</f>
        <v>#N/A</v>
      </c>
      <c r="C647" s="29" t="e">
        <v>#N/A</v>
      </c>
      <c r="D647" s="50">
        <f>54.9</f>
        <v>54.9</v>
      </c>
      <c r="E647" s="30">
        <v>54.9</v>
      </c>
      <c r="F647" s="29">
        <f>2.5</f>
        <v>2.5</v>
      </c>
      <c r="G647" s="31" t="e">
        <v>#N/A</v>
      </c>
      <c r="H647" s="51" t="e">
        <f t="shared" si="51"/>
        <v>#N/A</v>
      </c>
      <c r="I647" s="29">
        <f>5.7</f>
        <v>5.7</v>
      </c>
      <c r="J647" s="31">
        <v>6.11</v>
      </c>
      <c r="K647" s="51">
        <f t="shared" si="52"/>
        <v>5.709342560553634E-2</v>
      </c>
      <c r="L647" s="29">
        <f>9.3</f>
        <v>9.3000000000000007</v>
      </c>
      <c r="M647" s="30">
        <v>9.3000000000000007</v>
      </c>
      <c r="N647" s="29" t="e">
        <f>NA()</f>
        <v>#N/A</v>
      </c>
      <c r="O647" s="29" t="e">
        <v>#N/A</v>
      </c>
      <c r="P647" s="51" t="e">
        <f t="shared" si="50"/>
        <v>#N/A</v>
      </c>
      <c r="Q647" s="29" t="e">
        <f>NA()</f>
        <v>#N/A</v>
      </c>
      <c r="R647" s="43" t="e">
        <v>#N/A</v>
      </c>
      <c r="S647" s="32" t="e">
        <f t="shared" si="53"/>
        <v>#N/A</v>
      </c>
      <c r="T647" s="54" t="e">
        <f>VLOOKUP(A647,[1]인포맥스!$A:$I,9,0)</f>
        <v>#N/A</v>
      </c>
      <c r="U647" s="70" t="e">
        <f t="shared" si="54"/>
        <v>#N/A</v>
      </c>
    </row>
    <row r="648" spans="1:21" x14ac:dyDescent="0.25">
      <c r="A648" s="3">
        <v>24715</v>
      </c>
      <c r="B648" s="29" t="e">
        <f>NA()</f>
        <v>#N/A</v>
      </c>
      <c r="C648" s="29" t="e">
        <v>#N/A</v>
      </c>
      <c r="D648" s="50">
        <f>52.2</f>
        <v>52.2</v>
      </c>
      <c r="E648" s="30">
        <v>52.2</v>
      </c>
      <c r="F648" s="29">
        <f>38.1</f>
        <v>38.1</v>
      </c>
      <c r="G648" s="31" t="e">
        <v>#N/A</v>
      </c>
      <c r="H648" s="51" t="e">
        <f t="shared" si="51"/>
        <v>#N/A</v>
      </c>
      <c r="I648" s="29">
        <f>5.2</f>
        <v>5.2</v>
      </c>
      <c r="J648" s="31">
        <v>6.08</v>
      </c>
      <c r="K648" s="51">
        <f t="shared" si="52"/>
        <v>5.1903114186851181E-2</v>
      </c>
      <c r="L648" s="29">
        <f>9.6</f>
        <v>9.6</v>
      </c>
      <c r="M648" s="30">
        <v>9.6</v>
      </c>
      <c r="N648" s="29" t="e">
        <f>NA()</f>
        <v>#N/A</v>
      </c>
      <c r="O648" s="29" t="e">
        <v>#N/A</v>
      </c>
      <c r="P648" s="51" t="e">
        <f t="shared" si="50"/>
        <v>#N/A</v>
      </c>
      <c r="Q648" s="29" t="e">
        <f>NA()</f>
        <v>#N/A</v>
      </c>
      <c r="R648" s="43" t="e">
        <v>#N/A</v>
      </c>
      <c r="S648" s="32" t="e">
        <f t="shared" si="53"/>
        <v>#N/A</v>
      </c>
      <c r="T648" s="54" t="e">
        <f>VLOOKUP(A648,[1]인포맥스!$A:$I,9,0)</f>
        <v>#N/A</v>
      </c>
      <c r="U648" s="70" t="e">
        <f t="shared" si="54"/>
        <v>#N/A</v>
      </c>
    </row>
    <row r="649" spans="1:21" x14ac:dyDescent="0.25">
      <c r="A649" s="3">
        <v>24684</v>
      </c>
      <c r="B649" s="29" t="e">
        <f>NA()</f>
        <v>#N/A</v>
      </c>
      <c r="C649" s="29" t="e">
        <v>#N/A</v>
      </c>
      <c r="D649" s="50">
        <f>49.5</f>
        <v>49.5</v>
      </c>
      <c r="E649" s="30">
        <v>49.5</v>
      </c>
      <c r="F649" s="29">
        <f>21.7</f>
        <v>21.7</v>
      </c>
      <c r="G649" s="31" t="e">
        <v>#N/A</v>
      </c>
      <c r="H649" s="51" t="e">
        <f t="shared" si="51"/>
        <v>#N/A</v>
      </c>
      <c r="I649" s="29">
        <f>5</f>
        <v>5</v>
      </c>
      <c r="J649" s="31">
        <v>6.04</v>
      </c>
      <c r="K649" s="51">
        <f t="shared" si="52"/>
        <v>5.0434782608695661E-2</v>
      </c>
      <c r="L649" s="29">
        <f>10.5</f>
        <v>10.5</v>
      </c>
      <c r="M649" s="30">
        <v>10.5</v>
      </c>
      <c r="N649" s="29" t="e">
        <f>NA()</f>
        <v>#N/A</v>
      </c>
      <c r="O649" s="29" t="e">
        <v>#N/A</v>
      </c>
      <c r="P649" s="51" t="e">
        <f t="shared" si="50"/>
        <v>#N/A</v>
      </c>
      <c r="Q649" s="29" t="e">
        <f>NA()</f>
        <v>#N/A</v>
      </c>
      <c r="R649" s="43" t="e">
        <v>#N/A</v>
      </c>
      <c r="S649" s="32" t="e">
        <f t="shared" si="53"/>
        <v>#N/A</v>
      </c>
      <c r="T649" s="54" t="e">
        <f>VLOOKUP(A649,[1]인포맥스!$A:$I,9,0)</f>
        <v>#N/A</v>
      </c>
      <c r="U649" s="70" t="e">
        <f t="shared" si="54"/>
        <v>#N/A</v>
      </c>
    </row>
    <row r="650" spans="1:21" x14ac:dyDescent="0.25">
      <c r="A650" s="3">
        <v>24653</v>
      </c>
      <c r="B650" s="29" t="e">
        <f>NA()</f>
        <v>#N/A</v>
      </c>
      <c r="C650" s="29" t="e">
        <v>#N/A</v>
      </c>
      <c r="D650" s="50">
        <f>46.8</f>
        <v>46.8</v>
      </c>
      <c r="E650" s="30">
        <v>46.8</v>
      </c>
      <c r="F650" s="29">
        <f>21.6</f>
        <v>21.6</v>
      </c>
      <c r="G650" s="31" t="e">
        <v>#N/A</v>
      </c>
      <c r="H650" s="51" t="e">
        <f t="shared" si="51"/>
        <v>#N/A</v>
      </c>
      <c r="I650" s="29">
        <f>5.2</f>
        <v>5.2</v>
      </c>
      <c r="J650" s="31">
        <v>6.02</v>
      </c>
      <c r="K650" s="51">
        <f t="shared" si="52"/>
        <v>5.244755244755242E-2</v>
      </c>
      <c r="L650" s="29">
        <f>9.8</f>
        <v>9.8000000000000007</v>
      </c>
      <c r="M650" s="30">
        <v>9.8000000000000007</v>
      </c>
      <c r="N650" s="29" t="e">
        <f>NA()</f>
        <v>#N/A</v>
      </c>
      <c r="O650" s="29" t="e">
        <v>#N/A</v>
      </c>
      <c r="P650" s="51" t="e">
        <f t="shared" si="50"/>
        <v>#N/A</v>
      </c>
      <c r="Q650" s="29" t="e">
        <f>NA()</f>
        <v>#N/A</v>
      </c>
      <c r="R650" s="43" t="e">
        <v>#N/A</v>
      </c>
      <c r="S650" s="32" t="e">
        <f t="shared" si="53"/>
        <v>#N/A</v>
      </c>
      <c r="T650" s="54" t="e">
        <f>VLOOKUP(A650,[1]인포맥스!$A:$I,9,0)</f>
        <v>#N/A</v>
      </c>
      <c r="U650" s="70" t="e">
        <f t="shared" si="54"/>
        <v>#N/A</v>
      </c>
    </row>
    <row r="651" spans="1:21" x14ac:dyDescent="0.25">
      <c r="A651" s="3">
        <v>24623</v>
      </c>
      <c r="B651" s="29" t="e">
        <f>NA()</f>
        <v>#N/A</v>
      </c>
      <c r="C651" s="29" t="e">
        <v>#N/A</v>
      </c>
      <c r="D651" s="50">
        <f>44.5</f>
        <v>44.5</v>
      </c>
      <c r="E651" s="30">
        <v>44.5</v>
      </c>
      <c r="F651" s="29">
        <f>23.2</f>
        <v>23.2</v>
      </c>
      <c r="G651" s="31" t="e">
        <v>#N/A</v>
      </c>
      <c r="H651" s="51" t="e">
        <f t="shared" si="51"/>
        <v>#N/A</v>
      </c>
      <c r="I651" s="29">
        <f>6.4</f>
        <v>6.4</v>
      </c>
      <c r="J651" s="31">
        <v>6</v>
      </c>
      <c r="K651" s="51">
        <f t="shared" si="52"/>
        <v>6.3829787234042618E-2</v>
      </c>
      <c r="L651" s="29">
        <f>11.2</f>
        <v>11.2</v>
      </c>
      <c r="M651" s="30">
        <v>11.2</v>
      </c>
      <c r="N651" s="29" t="e">
        <f>NA()</f>
        <v>#N/A</v>
      </c>
      <c r="O651" s="29" t="e">
        <v>#N/A</v>
      </c>
      <c r="P651" s="51" t="e">
        <f t="shared" si="50"/>
        <v>#N/A</v>
      </c>
      <c r="Q651" s="29" t="e">
        <f>NA()</f>
        <v>#N/A</v>
      </c>
      <c r="R651" s="43" t="e">
        <v>#N/A</v>
      </c>
      <c r="S651" s="32" t="e">
        <f t="shared" si="53"/>
        <v>#N/A</v>
      </c>
      <c r="T651" s="54" t="e">
        <f>VLOOKUP(A651,[1]인포맥스!$A:$I,9,0)</f>
        <v>#N/A</v>
      </c>
      <c r="U651" s="70" t="e">
        <f t="shared" si="54"/>
        <v>#N/A</v>
      </c>
    </row>
    <row r="652" spans="1:21" x14ac:dyDescent="0.25">
      <c r="A652" s="3">
        <v>24592</v>
      </c>
      <c r="B652" s="29" t="e">
        <f>NA()</f>
        <v>#N/A</v>
      </c>
      <c r="C652" s="29" t="e">
        <v>#N/A</v>
      </c>
      <c r="D652" s="50">
        <f>42.8</f>
        <v>42.8</v>
      </c>
      <c r="E652" s="30">
        <v>42.8</v>
      </c>
      <c r="F652" s="29">
        <f>15.1</f>
        <v>15.1</v>
      </c>
      <c r="G652" s="31" t="e">
        <v>#N/A</v>
      </c>
      <c r="H652" s="51" t="e">
        <f t="shared" si="51"/>
        <v>#N/A</v>
      </c>
      <c r="I652" s="29">
        <f>7.1</f>
        <v>7.1</v>
      </c>
      <c r="J652" s="31">
        <v>5.92</v>
      </c>
      <c r="K652" s="51">
        <f t="shared" si="52"/>
        <v>7.0524412296564129E-2</v>
      </c>
      <c r="L652" s="29">
        <f>13.2</f>
        <v>13.2</v>
      </c>
      <c r="M652" s="30">
        <v>13.2</v>
      </c>
      <c r="N652" s="29" t="e">
        <f>NA()</f>
        <v>#N/A</v>
      </c>
      <c r="O652" s="29" t="e">
        <v>#N/A</v>
      </c>
      <c r="P652" s="51" t="e">
        <f t="shared" si="50"/>
        <v>#N/A</v>
      </c>
      <c r="Q652" s="29" t="e">
        <f>NA()</f>
        <v>#N/A</v>
      </c>
      <c r="R652" s="43" t="e">
        <v>#N/A</v>
      </c>
      <c r="S652" s="32" t="e">
        <f t="shared" si="53"/>
        <v>#N/A</v>
      </c>
      <c r="T652" s="54" t="e">
        <f>VLOOKUP(A652,[1]인포맥스!$A:$I,9,0)</f>
        <v>#N/A</v>
      </c>
      <c r="U652" s="70" t="e">
        <f t="shared" si="54"/>
        <v>#N/A</v>
      </c>
    </row>
    <row r="653" spans="1:21" x14ac:dyDescent="0.25">
      <c r="A653" s="3">
        <v>24562</v>
      </c>
      <c r="B653" s="29" t="e">
        <f>NA()</f>
        <v>#N/A</v>
      </c>
      <c r="C653" s="29" t="e">
        <v>#N/A</v>
      </c>
      <c r="D653" s="50">
        <f>45.3</f>
        <v>45.3</v>
      </c>
      <c r="E653" s="30">
        <v>45.3</v>
      </c>
      <c r="F653" s="29">
        <f>17.7</f>
        <v>17.7</v>
      </c>
      <c r="G653" s="31" t="e">
        <v>#N/A</v>
      </c>
      <c r="H653" s="51" t="e">
        <f t="shared" si="51"/>
        <v>#N/A</v>
      </c>
      <c r="I653" s="29">
        <f>6.6</f>
        <v>6.6</v>
      </c>
      <c r="J653" s="31">
        <v>5.8</v>
      </c>
      <c r="K653" s="51">
        <f t="shared" si="52"/>
        <v>6.6176470588235184E-2</v>
      </c>
      <c r="L653" s="29">
        <f>11.4</f>
        <v>11.4</v>
      </c>
      <c r="M653" s="30">
        <v>11.4</v>
      </c>
      <c r="N653" s="29" t="e">
        <f>NA()</f>
        <v>#N/A</v>
      </c>
      <c r="O653" s="29" t="e">
        <v>#N/A</v>
      </c>
      <c r="P653" s="51" t="e">
        <f t="shared" si="50"/>
        <v>#N/A</v>
      </c>
      <c r="Q653" s="29" t="e">
        <f>NA()</f>
        <v>#N/A</v>
      </c>
      <c r="R653" s="43" t="e">
        <v>#N/A</v>
      </c>
      <c r="S653" s="32" t="e">
        <f t="shared" si="53"/>
        <v>#N/A</v>
      </c>
      <c r="T653" s="54" t="e">
        <f>VLOOKUP(A653,[1]인포맥스!$A:$I,9,0)</f>
        <v>#N/A</v>
      </c>
      <c r="U653" s="70" t="e">
        <f t="shared" si="54"/>
        <v>#N/A</v>
      </c>
    </row>
    <row r="654" spans="1:21" x14ac:dyDescent="0.25">
      <c r="A654" s="3">
        <v>24531</v>
      </c>
      <c r="B654" s="29" t="e">
        <f>NA()</f>
        <v>#N/A</v>
      </c>
      <c r="C654" s="29" t="e">
        <v>#N/A</v>
      </c>
      <c r="D654" s="50">
        <f>47.6</f>
        <v>47.6</v>
      </c>
      <c r="E654" s="30">
        <v>47.6</v>
      </c>
      <c r="F654" s="29">
        <f>21.3</f>
        <v>21.3</v>
      </c>
      <c r="G654" s="31" t="e">
        <v>#N/A</v>
      </c>
      <c r="H654" s="51" t="e">
        <f t="shared" si="51"/>
        <v>#N/A</v>
      </c>
      <c r="I654" s="29">
        <f>6.7</f>
        <v>6.7</v>
      </c>
      <c r="J654" s="31">
        <v>5.77</v>
      </c>
      <c r="K654" s="51">
        <f t="shared" si="52"/>
        <v>6.654343807763391E-2</v>
      </c>
      <c r="L654" s="29">
        <f>11.6</f>
        <v>11.6</v>
      </c>
      <c r="M654" s="30">
        <v>11.6</v>
      </c>
      <c r="N654" s="29" t="e">
        <f>NA()</f>
        <v>#N/A</v>
      </c>
      <c r="O654" s="29" t="e">
        <v>#N/A</v>
      </c>
      <c r="P654" s="51" t="e">
        <f t="shared" si="50"/>
        <v>#N/A</v>
      </c>
      <c r="Q654" s="29" t="e">
        <f>NA()</f>
        <v>#N/A</v>
      </c>
      <c r="R654" s="43" t="e">
        <v>#N/A</v>
      </c>
      <c r="S654" s="32" t="e">
        <f t="shared" si="53"/>
        <v>#N/A</v>
      </c>
      <c r="T654" s="54" t="e">
        <f>VLOOKUP(A654,[1]인포맥스!$A:$I,9,0)</f>
        <v>#N/A</v>
      </c>
      <c r="U654" s="70" t="e">
        <f t="shared" si="54"/>
        <v>#N/A</v>
      </c>
    </row>
    <row r="655" spans="1:21" x14ac:dyDescent="0.25">
      <c r="A655" s="3">
        <v>24503</v>
      </c>
      <c r="B655" s="29" t="e">
        <f>NA()</f>
        <v>#N/A</v>
      </c>
      <c r="C655" s="29" t="e">
        <v>#N/A</v>
      </c>
      <c r="D655" s="50">
        <f>49.1</f>
        <v>49.1</v>
      </c>
      <c r="E655" s="30">
        <v>49.1</v>
      </c>
      <c r="F655" s="29">
        <f>19.4</f>
        <v>19.399999999999999</v>
      </c>
      <c r="G655" s="31" t="e">
        <v>#N/A</v>
      </c>
      <c r="H655" s="51" t="e">
        <f t="shared" si="51"/>
        <v>#N/A</v>
      </c>
      <c r="I655" s="29">
        <f>7.5</f>
        <v>7.5</v>
      </c>
      <c r="J655" s="31">
        <v>5.73</v>
      </c>
      <c r="K655" s="51">
        <f t="shared" si="52"/>
        <v>7.5046904315197061E-2</v>
      </c>
      <c r="L655" s="29">
        <f>13.2</f>
        <v>13.2</v>
      </c>
      <c r="M655" s="30">
        <v>13.2</v>
      </c>
      <c r="N655" s="29" t="e">
        <f>NA()</f>
        <v>#N/A</v>
      </c>
      <c r="O655" s="29" t="e">
        <v>#N/A</v>
      </c>
      <c r="P655" s="51" t="e">
        <f t="shared" si="50"/>
        <v>#N/A</v>
      </c>
      <c r="Q655" s="29" t="e">
        <f>NA()</f>
        <v>#N/A</v>
      </c>
      <c r="R655" s="43" t="e">
        <v>#N/A</v>
      </c>
      <c r="S655" s="32" t="e">
        <f t="shared" si="53"/>
        <v>#N/A</v>
      </c>
      <c r="T655" s="54" t="e">
        <f>VLOOKUP(A655,[1]인포맥스!$A:$I,9,0)</f>
        <v>#N/A</v>
      </c>
      <c r="U655" s="70" t="e">
        <f t="shared" si="54"/>
        <v>#N/A</v>
      </c>
    </row>
    <row r="656" spans="1:21" x14ac:dyDescent="0.25">
      <c r="A656" s="3">
        <v>24472</v>
      </c>
      <c r="B656" s="29" t="e">
        <f>NA()</f>
        <v>#N/A</v>
      </c>
      <c r="C656" s="29" t="e">
        <v>#N/A</v>
      </c>
      <c r="D656" s="50">
        <f>52.4</f>
        <v>52.4</v>
      </c>
      <c r="E656" s="30">
        <v>52.4</v>
      </c>
      <c r="F656" s="29" t="e">
        <f>NA()</f>
        <v>#N/A</v>
      </c>
      <c r="G656" s="31" t="e">
        <v>#N/A</v>
      </c>
      <c r="H656" s="51" t="e">
        <f t="shared" si="51"/>
        <v>#N/A</v>
      </c>
      <c r="I656" s="29">
        <f>8.9</f>
        <v>8.9</v>
      </c>
      <c r="J656" s="31">
        <v>5.76</v>
      </c>
      <c r="K656" s="51">
        <f t="shared" si="52"/>
        <v>8.8846880907372347E-2</v>
      </c>
      <c r="L656" s="29">
        <f>15.2</f>
        <v>15.2</v>
      </c>
      <c r="M656" s="30">
        <v>15.2</v>
      </c>
      <c r="N656" s="29" t="e">
        <f>NA()</f>
        <v>#N/A</v>
      </c>
      <c r="O656" s="29" t="e">
        <v>#N/A</v>
      </c>
      <c r="P656" s="51" t="e">
        <f t="shared" si="50"/>
        <v>#N/A</v>
      </c>
      <c r="Q656" s="29" t="e">
        <f>NA()</f>
        <v>#N/A</v>
      </c>
      <c r="R656" s="43" t="e">
        <v>#N/A</v>
      </c>
      <c r="S656" s="32" t="e">
        <f t="shared" si="53"/>
        <v>#N/A</v>
      </c>
      <c r="T656" s="54" t="e">
        <f>VLOOKUP(A656,[1]인포맥스!$A:$I,9,0)</f>
        <v>#N/A</v>
      </c>
      <c r="U656" s="70" t="e">
        <f t="shared" si="54"/>
        <v>#N/A</v>
      </c>
    </row>
    <row r="657" spans="1:21" x14ac:dyDescent="0.25">
      <c r="A657" s="3">
        <v>24441</v>
      </c>
      <c r="B657" s="29" t="e">
        <f>NA()</f>
        <v>#N/A</v>
      </c>
      <c r="C657" s="29" t="e">
        <v>#N/A</v>
      </c>
      <c r="D657" s="50">
        <f>53.7</f>
        <v>53.7</v>
      </c>
      <c r="E657" s="30">
        <v>53.7</v>
      </c>
      <c r="F657" s="29" t="e">
        <f>NA()</f>
        <v>#N/A</v>
      </c>
      <c r="G657" s="31" t="e">
        <v>#N/A</v>
      </c>
      <c r="H657" s="51" t="e">
        <f t="shared" si="51"/>
        <v>#N/A</v>
      </c>
      <c r="I657" s="29">
        <f>9.3</f>
        <v>9.3000000000000007</v>
      </c>
      <c r="J657" s="31">
        <v>5.74</v>
      </c>
      <c r="K657" s="51">
        <f t="shared" si="52"/>
        <v>9.3333333333333379E-2</v>
      </c>
      <c r="L657" s="29">
        <f>15.5</f>
        <v>15.5</v>
      </c>
      <c r="M657" s="30">
        <v>15.5</v>
      </c>
      <c r="N657" s="29" t="e">
        <f>NA()</f>
        <v>#N/A</v>
      </c>
      <c r="O657" s="29" t="e">
        <v>#N/A</v>
      </c>
      <c r="P657" s="51" t="e">
        <f t="shared" si="50"/>
        <v>#N/A</v>
      </c>
      <c r="Q657" s="29" t="e">
        <f>NA()</f>
        <v>#N/A</v>
      </c>
      <c r="R657" s="43" t="e">
        <v>#N/A</v>
      </c>
      <c r="S657" s="32" t="e">
        <f t="shared" si="53"/>
        <v>#N/A</v>
      </c>
      <c r="T657" s="54" t="e">
        <f>VLOOKUP(A657,[1]인포맥스!$A:$I,9,0)</f>
        <v>#N/A</v>
      </c>
      <c r="U657" s="70" t="e">
        <f t="shared" si="54"/>
        <v>#N/A</v>
      </c>
    </row>
    <row r="658" spans="1:21" x14ac:dyDescent="0.25">
      <c r="A658" s="3">
        <v>24411</v>
      </c>
      <c r="B658" s="29" t="e">
        <f>NA()</f>
        <v>#N/A</v>
      </c>
      <c r="C658" s="29" t="e">
        <v>#N/A</v>
      </c>
      <c r="D658" s="50">
        <f>57.2</f>
        <v>57.2</v>
      </c>
      <c r="E658" s="30">
        <v>57.2</v>
      </c>
      <c r="F658" s="29" t="e">
        <f>NA()</f>
        <v>#N/A</v>
      </c>
      <c r="G658" s="31" t="e">
        <v>#N/A</v>
      </c>
      <c r="H658" s="51" t="e">
        <f t="shared" si="51"/>
        <v>#N/A</v>
      </c>
      <c r="I658" s="29">
        <f>9.9</f>
        <v>9.9</v>
      </c>
      <c r="J658" s="31">
        <v>5.78</v>
      </c>
      <c r="K658" s="51">
        <f t="shared" si="52"/>
        <v>9.8859315589353708E-2</v>
      </c>
      <c r="L658" s="29">
        <f>16.5</f>
        <v>16.5</v>
      </c>
      <c r="M658" s="30">
        <v>16.5</v>
      </c>
      <c r="N658" s="29" t="e">
        <f>NA()</f>
        <v>#N/A</v>
      </c>
      <c r="O658" s="29" t="e">
        <v>#N/A</v>
      </c>
      <c r="P658" s="51" t="e">
        <f t="shared" si="50"/>
        <v>#N/A</v>
      </c>
      <c r="Q658" s="29" t="e">
        <f>NA()</f>
        <v>#N/A</v>
      </c>
      <c r="R658" s="43" t="e">
        <v>#N/A</v>
      </c>
      <c r="S658" s="32" t="e">
        <f t="shared" si="53"/>
        <v>#N/A</v>
      </c>
      <c r="T658" s="54" t="e">
        <f>VLOOKUP(A658,[1]인포맥스!$A:$I,9,0)</f>
        <v>#N/A</v>
      </c>
      <c r="U658" s="70" t="e">
        <f t="shared" si="54"/>
        <v>#N/A</v>
      </c>
    </row>
    <row r="659" spans="1:21" x14ac:dyDescent="0.25">
      <c r="A659" s="3">
        <v>24380</v>
      </c>
      <c r="B659" s="29" t="e">
        <f>NA()</f>
        <v>#N/A</v>
      </c>
      <c r="C659" s="29" t="e">
        <v>#N/A</v>
      </c>
      <c r="D659" s="50">
        <f>58.7</f>
        <v>58.7</v>
      </c>
      <c r="E659" s="30">
        <v>58.7</v>
      </c>
      <c r="F659" s="29" t="e">
        <f>NA()</f>
        <v>#N/A</v>
      </c>
      <c r="G659" s="31" t="e">
        <v>#N/A</v>
      </c>
      <c r="H659" s="51" t="e">
        <f t="shared" si="51"/>
        <v>#N/A</v>
      </c>
      <c r="I659" s="29">
        <f>9.5</f>
        <v>9.5</v>
      </c>
      <c r="J659" s="31">
        <v>5.78</v>
      </c>
      <c r="K659" s="51">
        <f t="shared" si="52"/>
        <v>9.4696969696969696E-2</v>
      </c>
      <c r="L659" s="29">
        <f>12.9</f>
        <v>12.9</v>
      </c>
      <c r="M659" s="30">
        <v>12.9</v>
      </c>
      <c r="N659" s="29" t="e">
        <f>NA()</f>
        <v>#N/A</v>
      </c>
      <c r="O659" s="29" t="e">
        <v>#N/A</v>
      </c>
      <c r="P659" s="51" t="e">
        <f t="shared" si="50"/>
        <v>#N/A</v>
      </c>
      <c r="Q659" s="29" t="e">
        <f>NA()</f>
        <v>#N/A</v>
      </c>
      <c r="R659" s="43" t="e">
        <v>#N/A</v>
      </c>
      <c r="S659" s="32" t="e">
        <f t="shared" si="53"/>
        <v>#N/A</v>
      </c>
      <c r="T659" s="54" t="e">
        <f>VLOOKUP(A659,[1]인포맥스!$A:$I,9,0)</f>
        <v>#N/A</v>
      </c>
      <c r="U659" s="70" t="e">
        <f t="shared" si="54"/>
        <v>#N/A</v>
      </c>
    </row>
    <row r="660" spans="1:21" x14ac:dyDescent="0.25">
      <c r="A660" s="3">
        <v>24350</v>
      </c>
      <c r="B660" s="29" t="e">
        <f>NA()</f>
        <v>#N/A</v>
      </c>
      <c r="C660" s="29" t="e">
        <v>#N/A</v>
      </c>
      <c r="D660" s="50">
        <f>58.5</f>
        <v>58.5</v>
      </c>
      <c r="E660" s="30">
        <v>58.5</v>
      </c>
      <c r="F660" s="29" t="e">
        <f>NA()</f>
        <v>#N/A</v>
      </c>
      <c r="G660" s="31" t="e">
        <v>#N/A</v>
      </c>
      <c r="H660" s="51" t="e">
        <f t="shared" si="51"/>
        <v>#N/A</v>
      </c>
      <c r="I660" s="29">
        <f>10.1</f>
        <v>10.1</v>
      </c>
      <c r="J660" s="31">
        <v>5.78</v>
      </c>
      <c r="K660" s="51">
        <f t="shared" si="52"/>
        <v>0.100952380952381</v>
      </c>
      <c r="L660" s="29">
        <f>10.3</f>
        <v>10.3</v>
      </c>
      <c r="M660" s="30">
        <v>10.3</v>
      </c>
      <c r="N660" s="29" t="e">
        <f>NA()</f>
        <v>#N/A</v>
      </c>
      <c r="O660" s="29" t="e">
        <v>#N/A</v>
      </c>
      <c r="P660" s="51" t="e">
        <f t="shared" si="50"/>
        <v>#N/A</v>
      </c>
      <c r="Q660" s="29" t="e">
        <f>NA()</f>
        <v>#N/A</v>
      </c>
      <c r="R660" s="43" t="e">
        <v>#N/A</v>
      </c>
      <c r="S660" s="32" t="e">
        <f t="shared" si="53"/>
        <v>#N/A</v>
      </c>
      <c r="T660" s="54" t="e">
        <f>VLOOKUP(A660,[1]인포맥스!$A:$I,9,0)</f>
        <v>#N/A</v>
      </c>
      <c r="U660" s="70" t="e">
        <f t="shared" si="54"/>
        <v>#N/A</v>
      </c>
    </row>
    <row r="661" spans="1:21" x14ac:dyDescent="0.25">
      <c r="A661" s="3">
        <v>24319</v>
      </c>
      <c r="B661" s="29" t="e">
        <f>NA()</f>
        <v>#N/A</v>
      </c>
      <c r="C661" s="29" t="e">
        <v>#N/A</v>
      </c>
      <c r="D661" s="50">
        <f>60.3</f>
        <v>60.3</v>
      </c>
      <c r="E661" s="30">
        <v>60.3</v>
      </c>
      <c r="F661" s="29" t="e">
        <f>NA()</f>
        <v>#N/A</v>
      </c>
      <c r="G661" s="31" t="e">
        <v>#N/A</v>
      </c>
      <c r="H661" s="51" t="e">
        <f t="shared" si="51"/>
        <v>#N/A</v>
      </c>
      <c r="I661" s="29">
        <f>9.5</f>
        <v>9.5</v>
      </c>
      <c r="J661" s="31">
        <v>5.75</v>
      </c>
      <c r="K661" s="51">
        <f t="shared" si="52"/>
        <v>9.5238095238095233E-2</v>
      </c>
      <c r="L661" s="29">
        <f>9.1</f>
        <v>9.1</v>
      </c>
      <c r="M661" s="30">
        <v>9.1</v>
      </c>
      <c r="N661" s="29" t="e">
        <f>NA()</f>
        <v>#N/A</v>
      </c>
      <c r="O661" s="29" t="e">
        <v>#N/A</v>
      </c>
      <c r="P661" s="51" t="e">
        <f t="shared" si="50"/>
        <v>#N/A</v>
      </c>
      <c r="Q661" s="29" t="e">
        <f>NA()</f>
        <v>#N/A</v>
      </c>
      <c r="R661" s="43" t="e">
        <v>#N/A</v>
      </c>
      <c r="S661" s="32" t="e">
        <f t="shared" si="53"/>
        <v>#N/A</v>
      </c>
      <c r="T661" s="54" t="e">
        <f>VLOOKUP(A661,[1]인포맥스!$A:$I,9,0)</f>
        <v>#N/A</v>
      </c>
      <c r="U661" s="70" t="e">
        <f t="shared" si="54"/>
        <v>#N/A</v>
      </c>
    </row>
    <row r="662" spans="1:21" x14ac:dyDescent="0.25">
      <c r="A662" s="3">
        <v>24288</v>
      </c>
      <c r="B662" s="29" t="e">
        <f>NA()</f>
        <v>#N/A</v>
      </c>
      <c r="C662" s="29" t="e">
        <v>#N/A</v>
      </c>
      <c r="D662" s="50">
        <f>59</f>
        <v>59</v>
      </c>
      <c r="E662" s="30">
        <v>59</v>
      </c>
      <c r="F662" s="29" t="e">
        <f>NA()</f>
        <v>#N/A</v>
      </c>
      <c r="G662" s="31" t="e">
        <v>#N/A</v>
      </c>
      <c r="H662" s="51" t="e">
        <f t="shared" si="51"/>
        <v>#N/A</v>
      </c>
      <c r="I662" s="29">
        <f>9.4</f>
        <v>9.4</v>
      </c>
      <c r="J662" s="31">
        <v>5.72</v>
      </c>
      <c r="K662" s="51">
        <f t="shared" si="52"/>
        <v>9.3690248565965445E-2</v>
      </c>
      <c r="L662" s="29">
        <f>11</f>
        <v>11</v>
      </c>
      <c r="M662" s="30">
        <v>11</v>
      </c>
      <c r="N662" s="29" t="e">
        <f>NA()</f>
        <v>#N/A</v>
      </c>
      <c r="O662" s="29" t="e">
        <v>#N/A</v>
      </c>
      <c r="P662" s="51" t="e">
        <f t="shared" si="50"/>
        <v>#N/A</v>
      </c>
      <c r="Q662" s="29" t="e">
        <f>NA()</f>
        <v>#N/A</v>
      </c>
      <c r="R662" s="43" t="e">
        <v>#N/A</v>
      </c>
      <c r="S662" s="32" t="e">
        <f t="shared" si="53"/>
        <v>#N/A</v>
      </c>
      <c r="T662" s="54" t="e">
        <f>VLOOKUP(A662,[1]인포맥스!$A:$I,9,0)</f>
        <v>#N/A</v>
      </c>
      <c r="U662" s="70" t="e">
        <f t="shared" si="54"/>
        <v>#N/A</v>
      </c>
    </row>
    <row r="663" spans="1:21" x14ac:dyDescent="0.25">
      <c r="A663" s="3">
        <v>24258</v>
      </c>
      <c r="B663" s="29" t="e">
        <f>NA()</f>
        <v>#N/A</v>
      </c>
      <c r="C663" s="29" t="e">
        <v>#N/A</v>
      </c>
      <c r="D663" s="50">
        <f>57.7</f>
        <v>57.7</v>
      </c>
      <c r="E663" s="30">
        <v>57.7</v>
      </c>
      <c r="F663" s="29" t="e">
        <f>NA()</f>
        <v>#N/A</v>
      </c>
      <c r="G663" s="31" t="e">
        <v>#N/A</v>
      </c>
      <c r="H663" s="51" t="e">
        <f t="shared" si="51"/>
        <v>#N/A</v>
      </c>
      <c r="I663" s="29">
        <f>9.9</f>
        <v>9.9</v>
      </c>
      <c r="J663" s="31">
        <v>5.64</v>
      </c>
      <c r="K663" s="51">
        <f t="shared" si="52"/>
        <v>9.941520467836254E-2</v>
      </c>
      <c r="L663" s="29">
        <f>9.9</f>
        <v>9.9</v>
      </c>
      <c r="M663" s="30">
        <v>9.9</v>
      </c>
      <c r="N663" s="29" t="e">
        <f>NA()</f>
        <v>#N/A</v>
      </c>
      <c r="O663" s="29" t="e">
        <v>#N/A</v>
      </c>
      <c r="P663" s="51" t="e">
        <f t="shared" si="50"/>
        <v>#N/A</v>
      </c>
      <c r="Q663" s="29" t="e">
        <f>NA()</f>
        <v>#N/A</v>
      </c>
      <c r="R663" s="43" t="e">
        <v>#N/A</v>
      </c>
      <c r="S663" s="32" t="e">
        <f t="shared" si="53"/>
        <v>#N/A</v>
      </c>
      <c r="T663" s="54" t="e">
        <f>VLOOKUP(A663,[1]인포맥스!$A:$I,9,0)</f>
        <v>#N/A</v>
      </c>
      <c r="U663" s="70" t="e">
        <f t="shared" si="54"/>
        <v>#N/A</v>
      </c>
    </row>
    <row r="664" spans="1:21" x14ac:dyDescent="0.25">
      <c r="A664" s="3">
        <v>24227</v>
      </c>
      <c r="B664" s="29" t="e">
        <f>NA()</f>
        <v>#N/A</v>
      </c>
      <c r="C664" s="29" t="e">
        <v>#N/A</v>
      </c>
      <c r="D664" s="50">
        <f>64.2</f>
        <v>64.2</v>
      </c>
      <c r="E664" s="30">
        <v>64.2</v>
      </c>
      <c r="F664" s="29" t="e">
        <f>NA()</f>
        <v>#N/A</v>
      </c>
      <c r="G664" s="31" t="e">
        <v>#N/A</v>
      </c>
      <c r="H664" s="51" t="e">
        <f t="shared" si="51"/>
        <v>#N/A</v>
      </c>
      <c r="I664" s="29">
        <f>9.9</f>
        <v>9.9</v>
      </c>
      <c r="J664" s="31">
        <v>5.53</v>
      </c>
      <c r="K664" s="51">
        <f t="shared" si="52"/>
        <v>9.940357852882703E-2</v>
      </c>
      <c r="L664" s="29">
        <f>9</f>
        <v>9</v>
      </c>
      <c r="M664" s="30">
        <v>9</v>
      </c>
      <c r="N664" s="29" t="e">
        <f>NA()</f>
        <v>#N/A</v>
      </c>
      <c r="O664" s="29" t="e">
        <v>#N/A</v>
      </c>
      <c r="P664" s="51" t="e">
        <f t="shared" si="50"/>
        <v>#N/A</v>
      </c>
      <c r="Q664" s="29" t="e">
        <f>NA()</f>
        <v>#N/A</v>
      </c>
      <c r="R664" s="43" t="e">
        <v>#N/A</v>
      </c>
      <c r="S664" s="32" t="e">
        <f t="shared" si="53"/>
        <v>#N/A</v>
      </c>
      <c r="T664" s="54" t="e">
        <f>VLOOKUP(A664,[1]인포맥스!$A:$I,9,0)</f>
        <v>#N/A</v>
      </c>
      <c r="U664" s="70" t="e">
        <f t="shared" si="54"/>
        <v>#N/A</v>
      </c>
    </row>
    <row r="665" spans="1:21" x14ac:dyDescent="0.25">
      <c r="A665" s="3">
        <v>24197</v>
      </c>
      <c r="B665" s="29" t="e">
        <f>NA()</f>
        <v>#N/A</v>
      </c>
      <c r="C665" s="29" t="e">
        <v>#N/A</v>
      </c>
      <c r="D665" s="50">
        <f>65.7</f>
        <v>65.7</v>
      </c>
      <c r="E665" s="30">
        <v>65.7</v>
      </c>
      <c r="F665" s="29" t="e">
        <f>NA()</f>
        <v>#N/A</v>
      </c>
      <c r="G665" s="31" t="e">
        <v>#N/A</v>
      </c>
      <c r="H665" s="51" t="e">
        <f t="shared" si="51"/>
        <v>#N/A</v>
      </c>
      <c r="I665" s="29">
        <f>8.2</f>
        <v>8.1999999999999993</v>
      </c>
      <c r="J665" s="31">
        <v>5.44</v>
      </c>
      <c r="K665" s="51">
        <f t="shared" si="52"/>
        <v>8.1510934393638199E-2</v>
      </c>
      <c r="L665" s="29">
        <f>9.6</f>
        <v>9.6</v>
      </c>
      <c r="M665" s="30">
        <v>9.6</v>
      </c>
      <c r="N665" s="29" t="e">
        <f>NA()</f>
        <v>#N/A</v>
      </c>
      <c r="O665" s="29" t="e">
        <v>#N/A</v>
      </c>
      <c r="P665" s="51" t="e">
        <f t="shared" si="50"/>
        <v>#N/A</v>
      </c>
      <c r="Q665" s="29" t="e">
        <f>NA()</f>
        <v>#N/A</v>
      </c>
      <c r="R665" s="43" t="e">
        <v>#N/A</v>
      </c>
      <c r="S665" s="32" t="e">
        <f t="shared" si="53"/>
        <v>#N/A</v>
      </c>
      <c r="T665" s="54" t="e">
        <f>VLOOKUP(A665,[1]인포맥스!$A:$I,9,0)</f>
        <v>#N/A</v>
      </c>
      <c r="U665" s="70" t="e">
        <f t="shared" si="54"/>
        <v>#N/A</v>
      </c>
    </row>
    <row r="666" spans="1:21" x14ac:dyDescent="0.25">
      <c r="A666" s="3">
        <v>24166</v>
      </c>
      <c r="B666" s="29" t="e">
        <f>NA()</f>
        <v>#N/A</v>
      </c>
      <c r="C666" s="29" t="e">
        <v>#N/A</v>
      </c>
      <c r="D666" s="50">
        <f>65.5</f>
        <v>65.5</v>
      </c>
      <c r="E666" s="30">
        <v>65.5</v>
      </c>
      <c r="F666" s="29" t="e">
        <f>NA()</f>
        <v>#N/A</v>
      </c>
      <c r="G666" s="31" t="e">
        <v>#N/A</v>
      </c>
      <c r="H666" s="51" t="e">
        <f t="shared" si="51"/>
        <v>#N/A</v>
      </c>
      <c r="I666" s="29">
        <f>6.7</f>
        <v>6.7</v>
      </c>
      <c r="J666" s="31">
        <v>5.41</v>
      </c>
      <c r="K666" s="51">
        <f t="shared" si="52"/>
        <v>6.7061143984220875E-2</v>
      </c>
      <c r="L666" s="29">
        <f>8.1</f>
        <v>8.1</v>
      </c>
      <c r="M666" s="30">
        <v>8.1</v>
      </c>
      <c r="N666" s="29" t="e">
        <f>NA()</f>
        <v>#N/A</v>
      </c>
      <c r="O666" s="29" t="e">
        <v>#N/A</v>
      </c>
      <c r="P666" s="51" t="e">
        <f t="shared" si="50"/>
        <v>#N/A</v>
      </c>
      <c r="Q666" s="29" t="e">
        <f>NA()</f>
        <v>#N/A</v>
      </c>
      <c r="R666" s="43" t="e">
        <v>#N/A</v>
      </c>
      <c r="S666" s="32" t="e">
        <f t="shared" si="53"/>
        <v>#N/A</v>
      </c>
      <c r="T666" s="54" t="e">
        <f>VLOOKUP(A666,[1]인포맥스!$A:$I,9,0)</f>
        <v>#N/A</v>
      </c>
      <c r="U666" s="70" t="e">
        <f t="shared" si="54"/>
        <v>#N/A</v>
      </c>
    </row>
    <row r="667" spans="1:21" x14ac:dyDescent="0.25">
      <c r="A667" s="3">
        <v>24138</v>
      </c>
      <c r="B667" s="29" t="e">
        <f>NA()</f>
        <v>#N/A</v>
      </c>
      <c r="C667" s="29" t="e">
        <v>#N/A</v>
      </c>
      <c r="D667" s="50">
        <f>65.8</f>
        <v>65.8</v>
      </c>
      <c r="E667" s="30">
        <v>65.8</v>
      </c>
      <c r="F667" s="29" t="e">
        <f>NA()</f>
        <v>#N/A</v>
      </c>
      <c r="G667" s="31" t="e">
        <v>#N/A</v>
      </c>
      <c r="H667" s="51" t="e">
        <f t="shared" si="51"/>
        <v>#N/A</v>
      </c>
      <c r="I667" s="29">
        <f>6</f>
        <v>6</v>
      </c>
      <c r="J667" s="31">
        <v>5.33</v>
      </c>
      <c r="K667" s="51">
        <f t="shared" si="52"/>
        <v>5.9642147117296186E-2</v>
      </c>
      <c r="L667" s="29">
        <f>7.4</f>
        <v>7.4</v>
      </c>
      <c r="M667" s="30">
        <v>7.4</v>
      </c>
      <c r="N667" s="29" t="e">
        <f>NA()</f>
        <v>#N/A</v>
      </c>
      <c r="O667" s="29" t="e">
        <v>#N/A</v>
      </c>
      <c r="P667" s="51" t="e">
        <f t="shared" si="50"/>
        <v>#N/A</v>
      </c>
      <c r="Q667" s="29" t="e">
        <f>NA()</f>
        <v>#N/A</v>
      </c>
      <c r="R667" s="43" t="e">
        <v>#N/A</v>
      </c>
      <c r="S667" s="32" t="e">
        <f t="shared" si="53"/>
        <v>#N/A</v>
      </c>
      <c r="T667" s="54" t="e">
        <f>VLOOKUP(A667,[1]인포맥스!$A:$I,9,0)</f>
        <v>#N/A</v>
      </c>
      <c r="U667" s="70" t="e">
        <f t="shared" si="54"/>
        <v>#N/A</v>
      </c>
    </row>
    <row r="668" spans="1:21" x14ac:dyDescent="0.25">
      <c r="A668" s="3">
        <v>24107</v>
      </c>
      <c r="B668" s="29" t="e">
        <f>NA()</f>
        <v>#N/A</v>
      </c>
      <c r="C668" s="29" t="e">
        <v>#N/A</v>
      </c>
      <c r="D668" s="50">
        <f>62.8</f>
        <v>62.8</v>
      </c>
      <c r="E668" s="30">
        <v>62.8</v>
      </c>
      <c r="F668" s="29" t="e">
        <f>NA()</f>
        <v>#N/A</v>
      </c>
      <c r="G668" s="31" t="e">
        <v>#N/A</v>
      </c>
      <c r="H668" s="51" t="e">
        <f t="shared" si="51"/>
        <v>#N/A</v>
      </c>
      <c r="I668" s="29" t="e">
        <f>NA()</f>
        <v>#N/A</v>
      </c>
      <c r="J668" s="31">
        <v>5.29</v>
      </c>
      <c r="K668" s="51" t="e">
        <f t="shared" si="52"/>
        <v>#N/A</v>
      </c>
      <c r="L668" s="29" t="e">
        <f>NA()</f>
        <v>#N/A</v>
      </c>
      <c r="M668" s="30">
        <v>9.6</v>
      </c>
      <c r="N668" s="29" t="e">
        <f>NA()</f>
        <v>#N/A</v>
      </c>
      <c r="O668" s="29" t="e">
        <v>#N/A</v>
      </c>
      <c r="P668" s="51" t="e">
        <f t="shared" si="50"/>
        <v>#N/A</v>
      </c>
      <c r="Q668" s="29" t="e">
        <f>NA()</f>
        <v>#N/A</v>
      </c>
      <c r="R668" s="43" t="e">
        <v>#N/A</v>
      </c>
      <c r="S668" s="32" t="e">
        <f t="shared" si="53"/>
        <v>#N/A</v>
      </c>
      <c r="T668" s="54" t="e">
        <f>VLOOKUP(A668,[1]인포맥스!$A:$I,9,0)</f>
        <v>#N/A</v>
      </c>
      <c r="U668" s="70" t="e">
        <f t="shared" si="54"/>
        <v>#N/A</v>
      </c>
    </row>
    <row r="669" spans="1:21" x14ac:dyDescent="0.25">
      <c r="A669" s="3">
        <v>24076</v>
      </c>
      <c r="B669" s="29" t="e">
        <f>NA()</f>
        <v>#N/A</v>
      </c>
      <c r="C669" s="29" t="e">
        <v>#N/A</v>
      </c>
      <c r="D669" s="50">
        <f>59.4</f>
        <v>59.4</v>
      </c>
      <c r="E669" s="30">
        <v>59.4</v>
      </c>
      <c r="F669" s="29" t="e">
        <f>NA()</f>
        <v>#N/A</v>
      </c>
      <c r="G669" s="31" t="e">
        <v>#N/A</v>
      </c>
      <c r="H669" s="51" t="e">
        <f t="shared" si="51"/>
        <v>#N/A</v>
      </c>
      <c r="I669" s="29" t="e">
        <f>NA()</f>
        <v>#N/A</v>
      </c>
      <c r="J669" s="31">
        <v>5.25</v>
      </c>
      <c r="K669" s="51" t="e">
        <f t="shared" si="52"/>
        <v>#N/A</v>
      </c>
      <c r="L669" s="29" t="e">
        <f>NA()</f>
        <v>#N/A</v>
      </c>
      <c r="M669" s="30">
        <v>10.199999999999999</v>
      </c>
      <c r="N669" s="29" t="e">
        <f>NA()</f>
        <v>#N/A</v>
      </c>
      <c r="O669" s="29" t="e">
        <v>#N/A</v>
      </c>
      <c r="P669" s="51" t="e">
        <f t="shared" si="50"/>
        <v>#N/A</v>
      </c>
      <c r="Q669" s="29" t="e">
        <f>NA()</f>
        <v>#N/A</v>
      </c>
      <c r="R669" s="43" t="e">
        <v>#N/A</v>
      </c>
      <c r="S669" s="32" t="e">
        <f t="shared" si="53"/>
        <v>#N/A</v>
      </c>
      <c r="T669" s="54" t="e">
        <f>VLOOKUP(A669,[1]인포맥스!$A:$I,9,0)</f>
        <v>#N/A</v>
      </c>
      <c r="U669" s="70" t="e">
        <f t="shared" si="54"/>
        <v>#N/A</v>
      </c>
    </row>
    <row r="670" spans="1:21" x14ac:dyDescent="0.25">
      <c r="A670" s="3">
        <v>24046</v>
      </c>
      <c r="B670" s="29" t="e">
        <f>NA()</f>
        <v>#N/A</v>
      </c>
      <c r="C670" s="29" t="e">
        <v>#N/A</v>
      </c>
      <c r="D670" s="50">
        <f>58.6</f>
        <v>58.6</v>
      </c>
      <c r="E670" s="30">
        <v>58.6</v>
      </c>
      <c r="F670" s="29" t="e">
        <f>NA()</f>
        <v>#N/A</v>
      </c>
      <c r="G670" s="31" t="e">
        <v>#N/A</v>
      </c>
      <c r="H670" s="51" t="e">
        <f t="shared" si="51"/>
        <v>#N/A</v>
      </c>
      <c r="I670" s="29" t="e">
        <f>NA()</f>
        <v>#N/A</v>
      </c>
      <c r="J670" s="31">
        <v>5.26</v>
      </c>
      <c r="K670" s="51" t="e">
        <f t="shared" si="52"/>
        <v>#N/A</v>
      </c>
      <c r="L670" s="29" t="e">
        <f>NA()</f>
        <v>#N/A</v>
      </c>
      <c r="M670" s="30">
        <v>12</v>
      </c>
      <c r="N670" s="29" t="e">
        <f>NA()</f>
        <v>#N/A</v>
      </c>
      <c r="O670" s="29" t="e">
        <v>#N/A</v>
      </c>
      <c r="P670" s="51" t="e">
        <f t="shared" si="50"/>
        <v>#N/A</v>
      </c>
      <c r="Q670" s="29" t="e">
        <f>NA()</f>
        <v>#N/A</v>
      </c>
      <c r="R670" s="43" t="e">
        <v>#N/A</v>
      </c>
      <c r="S670" s="32" t="e">
        <f t="shared" si="53"/>
        <v>#N/A</v>
      </c>
      <c r="T670" s="54" t="e">
        <f>VLOOKUP(A670,[1]인포맥스!$A:$I,9,0)</f>
        <v>#N/A</v>
      </c>
      <c r="U670" s="70" t="e">
        <f t="shared" si="54"/>
        <v>#N/A</v>
      </c>
    </row>
    <row r="671" spans="1:21" x14ac:dyDescent="0.25">
      <c r="A671" s="3">
        <v>24015</v>
      </c>
      <c r="B671" s="29" t="e">
        <f>NA()</f>
        <v>#N/A</v>
      </c>
      <c r="C671" s="29" t="e">
        <v>#N/A</v>
      </c>
      <c r="D671" s="50">
        <f>61</f>
        <v>61</v>
      </c>
      <c r="E671" s="30">
        <v>61</v>
      </c>
      <c r="F671" s="29" t="e">
        <f>NA()</f>
        <v>#N/A</v>
      </c>
      <c r="G671" s="31" t="e">
        <v>#N/A</v>
      </c>
      <c r="H671" s="51" t="e">
        <f t="shared" si="51"/>
        <v>#N/A</v>
      </c>
      <c r="I671" s="29" t="e">
        <f>NA()</f>
        <v>#N/A</v>
      </c>
      <c r="J671" s="31">
        <v>5.28</v>
      </c>
      <c r="K671" s="51" t="e">
        <f t="shared" si="52"/>
        <v>#N/A</v>
      </c>
      <c r="L671" s="29" t="e">
        <f>NA()</f>
        <v>#N/A</v>
      </c>
      <c r="M671" s="30">
        <v>15.1</v>
      </c>
      <c r="N671" s="29" t="e">
        <f>NA()</f>
        <v>#N/A</v>
      </c>
      <c r="O671" s="29" t="e">
        <v>#N/A</v>
      </c>
      <c r="P671" s="51" t="e">
        <f t="shared" si="50"/>
        <v>#N/A</v>
      </c>
      <c r="Q671" s="29" t="e">
        <f>NA()</f>
        <v>#N/A</v>
      </c>
      <c r="R671" s="43" t="e">
        <v>#N/A</v>
      </c>
      <c r="S671" s="32" t="e">
        <f t="shared" si="53"/>
        <v>#N/A</v>
      </c>
      <c r="T671" s="54" t="e">
        <f>VLOOKUP(A671,[1]인포맥스!$A:$I,9,0)</f>
        <v>#N/A</v>
      </c>
      <c r="U671" s="70" t="e">
        <f t="shared" si="54"/>
        <v>#N/A</v>
      </c>
    </row>
    <row r="672" spans="1:21" x14ac:dyDescent="0.25">
      <c r="A672" s="3">
        <v>23985</v>
      </c>
      <c r="B672" s="29" t="e">
        <f>NA()</f>
        <v>#N/A</v>
      </c>
      <c r="C672" s="29" t="e">
        <v>#N/A</v>
      </c>
      <c r="D672" s="50">
        <f>58.1</f>
        <v>58.1</v>
      </c>
      <c r="E672" s="30">
        <v>58.1</v>
      </c>
      <c r="F672" s="29" t="e">
        <f>NA()</f>
        <v>#N/A</v>
      </c>
      <c r="G672" s="31" t="e">
        <v>#N/A</v>
      </c>
      <c r="H672" s="51" t="e">
        <f t="shared" si="51"/>
        <v>#N/A</v>
      </c>
      <c r="I672" s="29" t="e">
        <f>NA()</f>
        <v>#N/A</v>
      </c>
      <c r="J672" s="31">
        <v>5.25</v>
      </c>
      <c r="K672" s="51" t="e">
        <f t="shared" si="52"/>
        <v>#N/A</v>
      </c>
      <c r="L672" s="29" t="e">
        <f>NA()</f>
        <v>#N/A</v>
      </c>
      <c r="M672" s="30">
        <v>19.8</v>
      </c>
      <c r="N672" s="29" t="e">
        <f>NA()</f>
        <v>#N/A</v>
      </c>
      <c r="O672" s="29" t="e">
        <v>#N/A</v>
      </c>
      <c r="P672" s="51" t="e">
        <f t="shared" si="50"/>
        <v>#N/A</v>
      </c>
      <c r="Q672" s="29" t="e">
        <f>NA()</f>
        <v>#N/A</v>
      </c>
      <c r="R672" s="43" t="e">
        <v>#N/A</v>
      </c>
      <c r="S672" s="32" t="e">
        <f t="shared" si="53"/>
        <v>#N/A</v>
      </c>
      <c r="T672" s="54" t="e">
        <f>VLOOKUP(A672,[1]인포맥스!$A:$I,9,0)</f>
        <v>#N/A</v>
      </c>
      <c r="U672" s="70" t="e">
        <f t="shared" si="54"/>
        <v>#N/A</v>
      </c>
    </row>
    <row r="673" spans="1:21" x14ac:dyDescent="0.25">
      <c r="A673" s="3">
        <v>23954</v>
      </c>
      <c r="B673" s="29" t="e">
        <f>NA()</f>
        <v>#N/A</v>
      </c>
      <c r="C673" s="29" t="e">
        <v>#N/A</v>
      </c>
      <c r="D673" s="50">
        <f>58.1</f>
        <v>58.1</v>
      </c>
      <c r="E673" s="30">
        <v>58.1</v>
      </c>
      <c r="F673" s="29" t="e">
        <f>NA()</f>
        <v>#N/A</v>
      </c>
      <c r="G673" s="31" t="e">
        <v>#N/A</v>
      </c>
      <c r="H673" s="51" t="e">
        <f t="shared" si="51"/>
        <v>#N/A</v>
      </c>
      <c r="I673" s="29" t="e">
        <f>NA()</f>
        <v>#N/A</v>
      </c>
      <c r="J673" s="31">
        <v>5.25</v>
      </c>
      <c r="K673" s="51" t="e">
        <f t="shared" si="52"/>
        <v>#N/A</v>
      </c>
      <c r="L673" s="29" t="e">
        <f>NA()</f>
        <v>#N/A</v>
      </c>
      <c r="M673" s="30">
        <v>17.600000000000001</v>
      </c>
      <c r="N673" s="29" t="e">
        <f>NA()</f>
        <v>#N/A</v>
      </c>
      <c r="O673" s="29" t="e">
        <v>#N/A</v>
      </c>
      <c r="P673" s="51" t="e">
        <f t="shared" si="50"/>
        <v>#N/A</v>
      </c>
      <c r="Q673" s="29" t="e">
        <f>NA()</f>
        <v>#N/A</v>
      </c>
      <c r="R673" s="43" t="e">
        <v>#N/A</v>
      </c>
      <c r="S673" s="32" t="e">
        <f t="shared" si="53"/>
        <v>#N/A</v>
      </c>
      <c r="T673" s="54" t="e">
        <f>VLOOKUP(A673,[1]인포맥스!$A:$I,9,0)</f>
        <v>#N/A</v>
      </c>
      <c r="U673" s="70" t="e">
        <f t="shared" si="54"/>
        <v>#N/A</v>
      </c>
    </row>
    <row r="674" spans="1:21" x14ac:dyDescent="0.25">
      <c r="A674" s="3">
        <v>23923</v>
      </c>
      <c r="B674" s="29" t="e">
        <f>NA()</f>
        <v>#N/A</v>
      </c>
      <c r="C674" s="29" t="e">
        <v>#N/A</v>
      </c>
      <c r="D674" s="50">
        <f>58.7</f>
        <v>58.7</v>
      </c>
      <c r="E674" s="30">
        <v>58.7</v>
      </c>
      <c r="F674" s="29" t="e">
        <f>NA()</f>
        <v>#N/A</v>
      </c>
      <c r="G674" s="31" t="e">
        <v>#N/A</v>
      </c>
      <c r="H674" s="51" t="e">
        <f t="shared" si="51"/>
        <v>#N/A</v>
      </c>
      <c r="I674" s="29" t="e">
        <f>NA()</f>
        <v>#N/A</v>
      </c>
      <c r="J674" s="31">
        <v>5.23</v>
      </c>
      <c r="K674" s="51" t="e">
        <f t="shared" si="52"/>
        <v>#N/A</v>
      </c>
      <c r="L674" s="29" t="e">
        <f>NA()</f>
        <v>#N/A</v>
      </c>
      <c r="M674" s="30">
        <v>13</v>
      </c>
      <c r="N674" s="29" t="e">
        <f>NA()</f>
        <v>#N/A</v>
      </c>
      <c r="O674" s="29" t="e">
        <v>#N/A</v>
      </c>
      <c r="P674" s="51" t="e">
        <f t="shared" si="50"/>
        <v>#N/A</v>
      </c>
      <c r="Q674" s="29" t="e">
        <f>NA()</f>
        <v>#N/A</v>
      </c>
      <c r="R674" s="43" t="e">
        <v>#N/A</v>
      </c>
      <c r="S674" s="32" t="e">
        <f t="shared" si="53"/>
        <v>#N/A</v>
      </c>
      <c r="T674" s="54" t="e">
        <f>VLOOKUP(A674,[1]인포맥스!$A:$I,9,0)</f>
        <v>#N/A</v>
      </c>
      <c r="U674" s="70" t="e">
        <f t="shared" si="54"/>
        <v>#N/A</v>
      </c>
    </row>
    <row r="675" spans="1:21" x14ac:dyDescent="0.25">
      <c r="A675" s="3">
        <v>23893</v>
      </c>
      <c r="B675" s="29" t="e">
        <f>NA()</f>
        <v>#N/A</v>
      </c>
      <c r="C675" s="29" t="e">
        <v>#N/A</v>
      </c>
      <c r="D675" s="50">
        <f>61.3</f>
        <v>61.3</v>
      </c>
      <c r="E675" s="30">
        <v>61.3</v>
      </c>
      <c r="F675" s="29" t="e">
        <f>NA()</f>
        <v>#N/A</v>
      </c>
      <c r="G675" s="31" t="e">
        <v>#N/A</v>
      </c>
      <c r="H675" s="51" t="e">
        <f t="shared" si="51"/>
        <v>#N/A</v>
      </c>
      <c r="I675" s="29" t="e">
        <f>NA()</f>
        <v>#N/A</v>
      </c>
      <c r="J675" s="31">
        <v>5.13</v>
      </c>
      <c r="K675" s="51" t="e">
        <f t="shared" si="52"/>
        <v>#N/A</v>
      </c>
      <c r="L675" s="29" t="e">
        <f>NA()</f>
        <v>#N/A</v>
      </c>
      <c r="M675" s="30">
        <v>8.8000000000000007</v>
      </c>
      <c r="N675" s="29" t="e">
        <f>NA()</f>
        <v>#N/A</v>
      </c>
      <c r="O675" s="29" t="e">
        <v>#N/A</v>
      </c>
      <c r="P675" s="51" t="e">
        <f t="shared" si="50"/>
        <v>#N/A</v>
      </c>
      <c r="Q675" s="29" t="e">
        <f>NA()</f>
        <v>#N/A</v>
      </c>
      <c r="R675" s="43" t="e">
        <v>#N/A</v>
      </c>
      <c r="S675" s="32" t="e">
        <f t="shared" si="53"/>
        <v>#N/A</v>
      </c>
      <c r="T675" s="54" t="e">
        <f>VLOOKUP(A675,[1]인포맥스!$A:$I,9,0)</f>
        <v>#N/A</v>
      </c>
      <c r="U675" s="70" t="e">
        <f t="shared" si="54"/>
        <v>#N/A</v>
      </c>
    </row>
    <row r="676" spans="1:21" x14ac:dyDescent="0.25">
      <c r="A676" s="3">
        <v>23862</v>
      </c>
      <c r="B676" s="29" t="e">
        <f>NA()</f>
        <v>#N/A</v>
      </c>
      <c r="C676" s="29" t="e">
        <v>#N/A</v>
      </c>
      <c r="D676" s="50">
        <f>62</f>
        <v>62</v>
      </c>
      <c r="E676" s="30">
        <v>62</v>
      </c>
      <c r="F676" s="29" t="e">
        <f>NA()</f>
        <v>#N/A</v>
      </c>
      <c r="G676" s="31" t="e">
        <v>#N/A</v>
      </c>
      <c r="H676" s="51" t="e">
        <f t="shared" si="51"/>
        <v>#N/A</v>
      </c>
      <c r="I676" s="29" t="e">
        <f>NA()</f>
        <v>#N/A</v>
      </c>
      <c r="J676" s="31">
        <v>5.03</v>
      </c>
      <c r="K676" s="51" t="e">
        <f t="shared" si="52"/>
        <v>#N/A</v>
      </c>
      <c r="L676" s="29" t="e">
        <f>NA()</f>
        <v>#N/A</v>
      </c>
      <c r="M676" s="30">
        <v>11.7</v>
      </c>
      <c r="N676" s="29" t="e">
        <f>NA()</f>
        <v>#N/A</v>
      </c>
      <c r="O676" s="29" t="e">
        <v>#N/A</v>
      </c>
      <c r="P676" s="51" t="e">
        <f t="shared" si="50"/>
        <v>#N/A</v>
      </c>
      <c r="Q676" s="29" t="e">
        <f>NA()</f>
        <v>#N/A</v>
      </c>
      <c r="R676" s="43" t="e">
        <v>#N/A</v>
      </c>
      <c r="S676" s="32" t="e">
        <f t="shared" si="53"/>
        <v>#N/A</v>
      </c>
      <c r="T676" s="54" t="e">
        <f>VLOOKUP(A676,[1]인포맥스!$A:$I,9,0)</f>
        <v>#N/A</v>
      </c>
      <c r="U676" s="70" t="e">
        <f t="shared" si="54"/>
        <v>#N/A</v>
      </c>
    </row>
    <row r="677" spans="1:21" x14ac:dyDescent="0.25">
      <c r="A677" s="3">
        <v>23832</v>
      </c>
      <c r="B677" s="29" t="e">
        <f>NA()</f>
        <v>#N/A</v>
      </c>
      <c r="C677" s="29" t="e">
        <v>#N/A</v>
      </c>
      <c r="D677" s="50">
        <f>64.9</f>
        <v>64.900000000000006</v>
      </c>
      <c r="E677" s="30">
        <v>64.900000000000006</v>
      </c>
      <c r="F677" s="29" t="e">
        <f>NA()</f>
        <v>#N/A</v>
      </c>
      <c r="G677" s="31" t="e">
        <v>#N/A</v>
      </c>
      <c r="H677" s="51" t="e">
        <f t="shared" si="51"/>
        <v>#N/A</v>
      </c>
      <c r="I677" s="29" t="e">
        <f>NA()</f>
        <v>#N/A</v>
      </c>
      <c r="J677" s="31">
        <v>5.03</v>
      </c>
      <c r="K677" s="51" t="e">
        <f t="shared" si="52"/>
        <v>#N/A</v>
      </c>
      <c r="L677" s="29" t="e">
        <f>NA()</f>
        <v>#N/A</v>
      </c>
      <c r="M677" s="30">
        <v>12.2</v>
      </c>
      <c r="N677" s="29" t="e">
        <f>NA()</f>
        <v>#N/A</v>
      </c>
      <c r="O677" s="29" t="e">
        <v>#N/A</v>
      </c>
      <c r="P677" s="51" t="e">
        <f t="shared" si="50"/>
        <v>#N/A</v>
      </c>
      <c r="Q677" s="29" t="e">
        <f>NA()</f>
        <v>#N/A</v>
      </c>
      <c r="R677" s="43" t="e">
        <v>#N/A</v>
      </c>
      <c r="S677" s="32" t="e">
        <f t="shared" si="53"/>
        <v>#N/A</v>
      </c>
      <c r="T677" s="54" t="e">
        <f>VLOOKUP(A677,[1]인포맥스!$A:$I,9,0)</f>
        <v>#N/A</v>
      </c>
      <c r="U677" s="70" t="e">
        <f t="shared" si="54"/>
        <v>#N/A</v>
      </c>
    </row>
    <row r="678" spans="1:21" x14ac:dyDescent="0.25">
      <c r="A678" s="3">
        <v>23801</v>
      </c>
      <c r="B678" s="29" t="e">
        <f>NA()</f>
        <v>#N/A</v>
      </c>
      <c r="C678" s="29" t="e">
        <v>#N/A</v>
      </c>
      <c r="D678" s="50">
        <f>62.1</f>
        <v>62.1</v>
      </c>
      <c r="E678" s="30">
        <v>62.1</v>
      </c>
      <c r="F678" s="29" t="e">
        <f>NA()</f>
        <v>#N/A</v>
      </c>
      <c r="G678" s="31" t="e">
        <v>#N/A</v>
      </c>
      <c r="H678" s="51" t="e">
        <f t="shared" si="51"/>
        <v>#N/A</v>
      </c>
      <c r="I678" s="29" t="e">
        <f>NA()</f>
        <v>#N/A</v>
      </c>
      <c r="J678" s="31">
        <v>5.07</v>
      </c>
      <c r="K678" s="51" t="e">
        <f t="shared" si="52"/>
        <v>#N/A</v>
      </c>
      <c r="L678" s="29" t="e">
        <f>NA()</f>
        <v>#N/A</v>
      </c>
      <c r="M678" s="30">
        <v>14.3</v>
      </c>
      <c r="N678" s="29" t="e">
        <f>NA()</f>
        <v>#N/A</v>
      </c>
      <c r="O678" s="29" t="e">
        <v>#N/A</v>
      </c>
      <c r="P678" s="51" t="e">
        <f t="shared" si="50"/>
        <v>#N/A</v>
      </c>
      <c r="Q678" s="29" t="e">
        <f>NA()</f>
        <v>#N/A</v>
      </c>
      <c r="R678" s="43" t="e">
        <v>#N/A</v>
      </c>
      <c r="S678" s="32" t="e">
        <f t="shared" si="53"/>
        <v>#N/A</v>
      </c>
      <c r="T678" s="54" t="e">
        <f>VLOOKUP(A678,[1]인포맥스!$A:$I,9,0)</f>
        <v>#N/A</v>
      </c>
      <c r="U678" s="70" t="e">
        <f t="shared" si="54"/>
        <v>#N/A</v>
      </c>
    </row>
    <row r="679" spans="1:21" x14ac:dyDescent="0.25">
      <c r="A679" s="3">
        <v>23773</v>
      </c>
      <c r="B679" s="29" t="e">
        <f>NA()</f>
        <v>#N/A</v>
      </c>
      <c r="C679" s="29" t="e">
        <v>#N/A</v>
      </c>
      <c r="D679" s="50">
        <f>61</f>
        <v>61</v>
      </c>
      <c r="E679" s="30">
        <v>61</v>
      </c>
      <c r="F679" s="29" t="e">
        <f>NA()</f>
        <v>#N/A</v>
      </c>
      <c r="G679" s="31" t="e">
        <v>#N/A</v>
      </c>
      <c r="H679" s="51" t="e">
        <f t="shared" si="51"/>
        <v>#N/A</v>
      </c>
      <c r="I679" s="29" t="e">
        <f>NA()</f>
        <v>#N/A</v>
      </c>
      <c r="J679" s="31">
        <v>5.03</v>
      </c>
      <c r="K679" s="51" t="e">
        <f t="shared" si="52"/>
        <v>#N/A</v>
      </c>
      <c r="L679" s="29" t="e">
        <f>NA()</f>
        <v>#N/A</v>
      </c>
      <c r="M679" s="30">
        <v>19.600000000000001</v>
      </c>
      <c r="N679" s="29" t="e">
        <f>NA()</f>
        <v>#N/A</v>
      </c>
      <c r="O679" s="29" t="e">
        <v>#N/A</v>
      </c>
      <c r="P679" s="51" t="e">
        <f t="shared" si="50"/>
        <v>#N/A</v>
      </c>
      <c r="Q679" s="29" t="e">
        <f>NA()</f>
        <v>#N/A</v>
      </c>
      <c r="R679" s="43" t="e">
        <v>#N/A</v>
      </c>
      <c r="S679" s="32" t="e">
        <f t="shared" si="53"/>
        <v>#N/A</v>
      </c>
      <c r="T679" s="54" t="e">
        <f>VLOOKUP(A679,[1]인포맥스!$A:$I,9,0)</f>
        <v>#N/A</v>
      </c>
      <c r="U679" s="70" t="e">
        <f t="shared" si="54"/>
        <v>#N/A</v>
      </c>
    </row>
    <row r="680" spans="1:21" x14ac:dyDescent="0.25">
      <c r="A680" s="3">
        <v>23742</v>
      </c>
      <c r="B680" s="29" t="e">
        <f>NA()</f>
        <v>#N/A</v>
      </c>
      <c r="C680" s="29" t="e">
        <v>#N/A</v>
      </c>
      <c r="D680" s="50">
        <f>62.4</f>
        <v>62.4</v>
      </c>
      <c r="E680" s="30">
        <v>62.4</v>
      </c>
      <c r="F680" s="29" t="e">
        <f>NA()</f>
        <v>#N/A</v>
      </c>
      <c r="G680" s="31" t="e">
        <v>#N/A</v>
      </c>
      <c r="H680" s="51" t="e">
        <f t="shared" si="51"/>
        <v>#N/A</v>
      </c>
      <c r="I680" s="29" t="e">
        <f>NA()</f>
        <v>#N/A</v>
      </c>
      <c r="J680" s="31" t="e">
        <v>#N/A</v>
      </c>
      <c r="K680" s="51" t="e">
        <f t="shared" si="52"/>
        <v>#N/A</v>
      </c>
      <c r="L680" s="29" t="e">
        <f>NA()</f>
        <v>#N/A</v>
      </c>
      <c r="M680" s="30" t="e">
        <v>#N/A</v>
      </c>
      <c r="N680" s="29" t="e">
        <f>NA()</f>
        <v>#N/A</v>
      </c>
      <c r="O680" s="29" t="e">
        <v>#N/A</v>
      </c>
      <c r="P680" s="51" t="e">
        <f t="shared" si="50"/>
        <v>#N/A</v>
      </c>
      <c r="Q680" s="29" t="e">
        <f>NA()</f>
        <v>#N/A</v>
      </c>
      <c r="R680" s="43" t="e">
        <v>#N/A</v>
      </c>
      <c r="S680" s="32" t="e">
        <f t="shared" si="53"/>
        <v>#N/A</v>
      </c>
      <c r="T680" s="54" t="e">
        <f>VLOOKUP(A680,[1]인포맥스!$A:$I,9,0)</f>
        <v>#N/A</v>
      </c>
      <c r="U680" s="70" t="e">
        <f t="shared" si="54"/>
        <v>#N/A</v>
      </c>
    </row>
    <row r="681" spans="1:21" x14ac:dyDescent="0.25">
      <c r="A681" s="3">
        <v>23711</v>
      </c>
      <c r="B681" s="29" t="e">
        <f>NA()</f>
        <v>#N/A</v>
      </c>
      <c r="C681" s="29" t="e">
        <v>#N/A</v>
      </c>
      <c r="D681" s="50">
        <f>61.8</f>
        <v>61.8</v>
      </c>
      <c r="E681" s="30">
        <v>61.8</v>
      </c>
      <c r="F681" s="29" t="e">
        <f>NA()</f>
        <v>#N/A</v>
      </c>
      <c r="G681" s="31" t="e">
        <v>#N/A</v>
      </c>
      <c r="H681" s="51" t="e">
        <f t="shared" si="51"/>
        <v>#N/A</v>
      </c>
      <c r="I681" s="29" t="e">
        <f>NA()</f>
        <v>#N/A</v>
      </c>
      <c r="J681" s="31" t="e">
        <v>#N/A</v>
      </c>
      <c r="K681" s="51" t="e">
        <f t="shared" si="52"/>
        <v>#N/A</v>
      </c>
      <c r="L681" s="29" t="e">
        <f>NA()</f>
        <v>#N/A</v>
      </c>
      <c r="M681" s="30" t="e">
        <v>#N/A</v>
      </c>
      <c r="N681" s="29" t="e">
        <f>NA()</f>
        <v>#N/A</v>
      </c>
      <c r="O681" s="29" t="e">
        <v>#N/A</v>
      </c>
      <c r="P681" s="51" t="e">
        <f t="shared" si="50"/>
        <v>#N/A</v>
      </c>
      <c r="Q681" s="29" t="e">
        <f>NA()</f>
        <v>#N/A</v>
      </c>
      <c r="R681" s="43" t="e">
        <v>#N/A</v>
      </c>
      <c r="S681" s="32" t="e">
        <f t="shared" si="53"/>
        <v>#N/A</v>
      </c>
      <c r="T681" s="54" t="e">
        <f>VLOOKUP(A681,[1]인포맥스!$A:$I,9,0)</f>
        <v>#N/A</v>
      </c>
      <c r="U681" s="70" t="e">
        <f t="shared" si="54"/>
        <v>#N/A</v>
      </c>
    </row>
    <row r="682" spans="1:21" x14ac:dyDescent="0.25">
      <c r="A682" s="3">
        <v>23681</v>
      </c>
      <c r="B682" s="29" t="e">
        <f>NA()</f>
        <v>#N/A</v>
      </c>
      <c r="C682" s="29" t="e">
        <v>#N/A</v>
      </c>
      <c r="D682" s="50">
        <f>60.7</f>
        <v>60.7</v>
      </c>
      <c r="E682" s="30">
        <v>60.7</v>
      </c>
      <c r="F682" s="29" t="e">
        <f>NA()</f>
        <v>#N/A</v>
      </c>
      <c r="G682" s="31" t="e">
        <v>#N/A</v>
      </c>
      <c r="H682" s="51" t="e">
        <f t="shared" si="51"/>
        <v>#N/A</v>
      </c>
      <c r="I682" s="29" t="e">
        <f>NA()</f>
        <v>#N/A</v>
      </c>
      <c r="J682" s="31" t="e">
        <v>#N/A</v>
      </c>
      <c r="K682" s="51" t="e">
        <f t="shared" si="52"/>
        <v>#N/A</v>
      </c>
      <c r="L682" s="29" t="e">
        <f>NA()</f>
        <v>#N/A</v>
      </c>
      <c r="M682" s="30" t="e">
        <v>#N/A</v>
      </c>
      <c r="N682" s="29" t="e">
        <f>NA()</f>
        <v>#N/A</v>
      </c>
      <c r="O682" s="29" t="e">
        <v>#N/A</v>
      </c>
      <c r="P682" s="51" t="e">
        <f t="shared" si="50"/>
        <v>#N/A</v>
      </c>
      <c r="Q682" s="29" t="e">
        <f>NA()</f>
        <v>#N/A</v>
      </c>
      <c r="R682" s="43" t="e">
        <v>#N/A</v>
      </c>
      <c r="S682" s="32" t="e">
        <f t="shared" si="53"/>
        <v>#N/A</v>
      </c>
      <c r="T682" s="54" t="e">
        <f>VLOOKUP(A682,[1]인포맥스!$A:$I,9,0)</f>
        <v>#N/A</v>
      </c>
      <c r="U682" s="70" t="e">
        <f t="shared" si="54"/>
        <v>#N/A</v>
      </c>
    </row>
    <row r="683" spans="1:21" x14ac:dyDescent="0.25">
      <c r="A683" s="3">
        <v>23650</v>
      </c>
      <c r="B683" s="29" t="e">
        <f>NA()</f>
        <v>#N/A</v>
      </c>
      <c r="C683" s="29" t="e">
        <v>#N/A</v>
      </c>
      <c r="D683" s="50">
        <f>63.3</f>
        <v>63.3</v>
      </c>
      <c r="E683" s="30">
        <v>63.3</v>
      </c>
      <c r="F683" s="29" t="e">
        <f>NA()</f>
        <v>#N/A</v>
      </c>
      <c r="G683" s="31" t="e">
        <v>#N/A</v>
      </c>
      <c r="H683" s="51" t="e">
        <f t="shared" si="51"/>
        <v>#N/A</v>
      </c>
      <c r="I683" s="29" t="e">
        <f>NA()</f>
        <v>#N/A</v>
      </c>
      <c r="J683" s="31" t="e">
        <v>#N/A</v>
      </c>
      <c r="K683" s="51" t="e">
        <f t="shared" si="52"/>
        <v>#N/A</v>
      </c>
      <c r="L683" s="29" t="e">
        <f>NA()</f>
        <v>#N/A</v>
      </c>
      <c r="M683" s="30" t="e">
        <v>#N/A</v>
      </c>
      <c r="N683" s="29" t="e">
        <f>NA()</f>
        <v>#N/A</v>
      </c>
      <c r="O683" s="29" t="e">
        <v>#N/A</v>
      </c>
      <c r="P683" s="51" t="e">
        <f t="shared" si="50"/>
        <v>#N/A</v>
      </c>
      <c r="Q683" s="29" t="e">
        <f>NA()</f>
        <v>#N/A</v>
      </c>
      <c r="R683" s="43" t="e">
        <v>#N/A</v>
      </c>
      <c r="S683" s="32" t="e">
        <f t="shared" si="53"/>
        <v>#N/A</v>
      </c>
      <c r="T683" s="54" t="e">
        <f>VLOOKUP(A683,[1]인포맥스!$A:$I,9,0)</f>
        <v>#N/A</v>
      </c>
      <c r="U683" s="70" t="e">
        <f t="shared" si="54"/>
        <v>#N/A</v>
      </c>
    </row>
    <row r="684" spans="1:21" x14ac:dyDescent="0.25">
      <c r="A684" s="3">
        <v>23620</v>
      </c>
      <c r="B684" s="29" t="e">
        <f>NA()</f>
        <v>#N/A</v>
      </c>
      <c r="C684" s="29" t="e">
        <v>#N/A</v>
      </c>
      <c r="D684" s="50">
        <f>63.3</f>
        <v>63.3</v>
      </c>
      <c r="E684" s="30">
        <v>63.3</v>
      </c>
      <c r="F684" s="29" t="e">
        <f>NA()</f>
        <v>#N/A</v>
      </c>
      <c r="G684" s="31" t="e">
        <v>#N/A</v>
      </c>
      <c r="H684" s="51" t="e">
        <f t="shared" si="51"/>
        <v>#N/A</v>
      </c>
      <c r="I684" s="29" t="e">
        <f>NA()</f>
        <v>#N/A</v>
      </c>
      <c r="J684" s="31" t="e">
        <v>#N/A</v>
      </c>
      <c r="K684" s="51" t="e">
        <f t="shared" si="52"/>
        <v>#N/A</v>
      </c>
      <c r="L684" s="29" t="e">
        <f>NA()</f>
        <v>#N/A</v>
      </c>
      <c r="M684" s="30" t="e">
        <v>#N/A</v>
      </c>
      <c r="N684" s="29" t="e">
        <f>NA()</f>
        <v>#N/A</v>
      </c>
      <c r="O684" s="29" t="e">
        <v>#N/A</v>
      </c>
      <c r="P684" s="51" t="e">
        <f t="shared" si="50"/>
        <v>#N/A</v>
      </c>
      <c r="Q684" s="29" t="e">
        <f>NA()</f>
        <v>#N/A</v>
      </c>
      <c r="R684" s="43" t="e">
        <v>#N/A</v>
      </c>
      <c r="S684" s="32" t="e">
        <f t="shared" si="53"/>
        <v>#N/A</v>
      </c>
      <c r="T684" s="54" t="e">
        <f>VLOOKUP(A684,[1]인포맥스!$A:$I,9,0)</f>
        <v>#N/A</v>
      </c>
      <c r="U684" s="70" t="e">
        <f t="shared" si="54"/>
        <v>#N/A</v>
      </c>
    </row>
    <row r="685" spans="1:21" x14ac:dyDescent="0.25">
      <c r="A685" s="3">
        <v>23589</v>
      </c>
      <c r="B685" s="29" t="e">
        <f>NA()</f>
        <v>#N/A</v>
      </c>
      <c r="C685" s="29" t="e">
        <v>#N/A</v>
      </c>
      <c r="D685" s="50">
        <f>62.9</f>
        <v>62.9</v>
      </c>
      <c r="E685" s="30">
        <v>62.9</v>
      </c>
      <c r="F685" s="29" t="e">
        <f>NA()</f>
        <v>#N/A</v>
      </c>
      <c r="G685" s="31" t="e">
        <v>#N/A</v>
      </c>
      <c r="H685" s="51" t="e">
        <f t="shared" si="51"/>
        <v>#N/A</v>
      </c>
      <c r="I685" s="29" t="e">
        <f>NA()</f>
        <v>#N/A</v>
      </c>
      <c r="J685" s="31" t="e">
        <v>#N/A</v>
      </c>
      <c r="K685" s="51" t="e">
        <f t="shared" si="52"/>
        <v>#N/A</v>
      </c>
      <c r="L685" s="29" t="e">
        <f>NA()</f>
        <v>#N/A</v>
      </c>
      <c r="M685" s="30" t="e">
        <v>#N/A</v>
      </c>
      <c r="N685" s="29" t="e">
        <f>NA()</f>
        <v>#N/A</v>
      </c>
      <c r="O685" s="29" t="e">
        <v>#N/A</v>
      </c>
      <c r="P685" s="51" t="e">
        <f t="shared" si="50"/>
        <v>#N/A</v>
      </c>
      <c r="Q685" s="29" t="e">
        <f>NA()</f>
        <v>#N/A</v>
      </c>
      <c r="R685" s="43" t="e">
        <v>#N/A</v>
      </c>
      <c r="S685" s="32" t="e">
        <f t="shared" si="53"/>
        <v>#N/A</v>
      </c>
      <c r="T685" s="54" t="e">
        <f>VLOOKUP(A685,[1]인포맥스!$A:$I,9,0)</f>
        <v>#N/A</v>
      </c>
      <c r="U685" s="70" t="e">
        <f t="shared" si="54"/>
        <v>#N/A</v>
      </c>
    </row>
    <row r="686" spans="1:21" x14ac:dyDescent="0.25">
      <c r="A686" s="3">
        <v>23558</v>
      </c>
      <c r="B686" s="29" t="e">
        <f>NA()</f>
        <v>#N/A</v>
      </c>
      <c r="C686" s="29" t="e">
        <v>#N/A</v>
      </c>
      <c r="D686" s="50">
        <f>60.1</f>
        <v>60.1</v>
      </c>
      <c r="E686" s="30">
        <v>60.1</v>
      </c>
      <c r="F686" s="29" t="e">
        <f>NA()</f>
        <v>#N/A</v>
      </c>
      <c r="G686" s="31" t="e">
        <v>#N/A</v>
      </c>
      <c r="H686" s="51" t="e">
        <f t="shared" si="51"/>
        <v>#N/A</v>
      </c>
      <c r="I686" s="29" t="e">
        <f>NA()</f>
        <v>#N/A</v>
      </c>
      <c r="J686" s="31" t="e">
        <v>#N/A</v>
      </c>
      <c r="K686" s="51" t="e">
        <f t="shared" si="52"/>
        <v>#N/A</v>
      </c>
      <c r="L686" s="29" t="e">
        <f>NA()</f>
        <v>#N/A</v>
      </c>
      <c r="M686" s="30" t="e">
        <v>#N/A</v>
      </c>
      <c r="N686" s="29" t="e">
        <f>NA()</f>
        <v>#N/A</v>
      </c>
      <c r="O686" s="29" t="e">
        <v>#N/A</v>
      </c>
      <c r="P686" s="51" t="e">
        <f t="shared" si="50"/>
        <v>#N/A</v>
      </c>
      <c r="Q686" s="29" t="e">
        <f>NA()</f>
        <v>#N/A</v>
      </c>
      <c r="R686" s="43" t="e">
        <v>#N/A</v>
      </c>
      <c r="S686" s="32" t="e">
        <f t="shared" si="53"/>
        <v>#N/A</v>
      </c>
      <c r="T686" s="54" t="e">
        <f>VLOOKUP(A686,[1]인포맥스!$A:$I,9,0)</f>
        <v>#N/A</v>
      </c>
      <c r="U686" s="70" t="e">
        <f t="shared" si="54"/>
        <v>#N/A</v>
      </c>
    </row>
    <row r="687" spans="1:21" x14ac:dyDescent="0.25">
      <c r="A687" s="3">
        <v>23528</v>
      </c>
      <c r="B687" s="29" t="e">
        <f>NA()</f>
        <v>#N/A</v>
      </c>
      <c r="C687" s="29" t="e">
        <v>#N/A</v>
      </c>
      <c r="D687" s="50">
        <f>58.7</f>
        <v>58.7</v>
      </c>
      <c r="E687" s="30">
        <v>58.7</v>
      </c>
      <c r="F687" s="29" t="e">
        <f>NA()</f>
        <v>#N/A</v>
      </c>
      <c r="G687" s="31" t="e">
        <v>#N/A</v>
      </c>
      <c r="H687" s="51" t="e">
        <f t="shared" si="51"/>
        <v>#N/A</v>
      </c>
      <c r="I687" s="29" t="e">
        <f>NA()</f>
        <v>#N/A</v>
      </c>
      <c r="J687" s="31" t="e">
        <v>#N/A</v>
      </c>
      <c r="K687" s="51" t="e">
        <f t="shared" si="52"/>
        <v>#N/A</v>
      </c>
      <c r="L687" s="29" t="e">
        <f>NA()</f>
        <v>#N/A</v>
      </c>
      <c r="M687" s="30" t="e">
        <v>#N/A</v>
      </c>
      <c r="N687" s="29" t="e">
        <f>NA()</f>
        <v>#N/A</v>
      </c>
      <c r="O687" s="29" t="e">
        <v>#N/A</v>
      </c>
      <c r="P687" s="51" t="e">
        <f t="shared" si="50"/>
        <v>#N/A</v>
      </c>
      <c r="Q687" s="29" t="e">
        <f>NA()</f>
        <v>#N/A</v>
      </c>
      <c r="R687" s="43" t="e">
        <v>#N/A</v>
      </c>
      <c r="S687" s="32" t="e">
        <f t="shared" si="53"/>
        <v>#N/A</v>
      </c>
      <c r="T687" s="54" t="e">
        <f>VLOOKUP(A687,[1]인포맥스!$A:$I,9,0)</f>
        <v>#N/A</v>
      </c>
      <c r="U687" s="70" t="e">
        <f t="shared" si="54"/>
        <v>#N/A</v>
      </c>
    </row>
    <row r="688" spans="1:21" x14ac:dyDescent="0.25">
      <c r="A688" s="3">
        <v>23497</v>
      </c>
      <c r="B688" s="29" t="e">
        <f>NA()</f>
        <v>#N/A</v>
      </c>
      <c r="C688" s="29" t="e">
        <v>#N/A</v>
      </c>
      <c r="D688" s="50">
        <f>59.2</f>
        <v>59.2</v>
      </c>
      <c r="E688" s="30">
        <v>59.2</v>
      </c>
      <c r="F688" s="29" t="e">
        <f>NA()</f>
        <v>#N/A</v>
      </c>
      <c r="G688" s="31" t="e">
        <v>#N/A</v>
      </c>
      <c r="H688" s="51" t="e">
        <f t="shared" si="51"/>
        <v>#N/A</v>
      </c>
      <c r="I688" s="29" t="e">
        <f>NA()</f>
        <v>#N/A</v>
      </c>
      <c r="J688" s="31" t="e">
        <v>#N/A</v>
      </c>
      <c r="K688" s="51" t="e">
        <f t="shared" si="52"/>
        <v>#N/A</v>
      </c>
      <c r="L688" s="29" t="e">
        <f>NA()</f>
        <v>#N/A</v>
      </c>
      <c r="M688" s="30" t="e">
        <v>#N/A</v>
      </c>
      <c r="N688" s="29" t="e">
        <f>NA()</f>
        <v>#N/A</v>
      </c>
      <c r="O688" s="29" t="e">
        <v>#N/A</v>
      </c>
      <c r="P688" s="51" t="e">
        <f t="shared" si="50"/>
        <v>#N/A</v>
      </c>
      <c r="Q688" s="29" t="e">
        <f>NA()</f>
        <v>#N/A</v>
      </c>
      <c r="R688" s="43" t="e">
        <v>#N/A</v>
      </c>
      <c r="S688" s="32" t="e">
        <f t="shared" si="53"/>
        <v>#N/A</v>
      </c>
      <c r="T688" s="54" t="e">
        <f>VLOOKUP(A688,[1]인포맥스!$A:$I,9,0)</f>
        <v>#N/A</v>
      </c>
      <c r="U688" s="70" t="e">
        <f t="shared" si="54"/>
        <v>#N/A</v>
      </c>
    </row>
    <row r="689" spans="1:21" x14ac:dyDescent="0.25">
      <c r="A689" s="3">
        <v>23467</v>
      </c>
      <c r="B689" s="29" t="e">
        <f>NA()</f>
        <v>#N/A</v>
      </c>
      <c r="C689" s="29" t="e">
        <v>#N/A</v>
      </c>
      <c r="D689" s="50">
        <f>60.2</f>
        <v>60.2</v>
      </c>
      <c r="E689" s="30">
        <v>60.2</v>
      </c>
      <c r="F689" s="29" t="e">
        <f>NA()</f>
        <v>#N/A</v>
      </c>
      <c r="G689" s="31" t="e">
        <v>#N/A</v>
      </c>
      <c r="H689" s="51" t="e">
        <f t="shared" si="51"/>
        <v>#N/A</v>
      </c>
      <c r="I689" s="29" t="e">
        <f>NA()</f>
        <v>#N/A</v>
      </c>
      <c r="J689" s="31" t="e">
        <v>#N/A</v>
      </c>
      <c r="K689" s="51" t="e">
        <f t="shared" si="52"/>
        <v>#N/A</v>
      </c>
      <c r="L689" s="29" t="e">
        <f>NA()</f>
        <v>#N/A</v>
      </c>
      <c r="M689" s="30" t="e">
        <v>#N/A</v>
      </c>
      <c r="N689" s="29" t="e">
        <f>NA()</f>
        <v>#N/A</v>
      </c>
      <c r="O689" s="29" t="e">
        <v>#N/A</v>
      </c>
      <c r="P689" s="51" t="e">
        <f t="shared" si="50"/>
        <v>#N/A</v>
      </c>
      <c r="Q689" s="29" t="e">
        <f>NA()</f>
        <v>#N/A</v>
      </c>
      <c r="R689" s="43" t="e">
        <v>#N/A</v>
      </c>
      <c r="S689" s="32" t="e">
        <f t="shared" si="53"/>
        <v>#N/A</v>
      </c>
      <c r="T689" s="54" t="e">
        <f>VLOOKUP(A689,[1]인포맥스!$A:$I,9,0)</f>
        <v>#N/A</v>
      </c>
      <c r="U689" s="70" t="e">
        <f t="shared" si="54"/>
        <v>#N/A</v>
      </c>
    </row>
    <row r="690" spans="1:21" x14ac:dyDescent="0.25">
      <c r="A690" s="3">
        <v>23436</v>
      </c>
      <c r="B690" s="29" t="e">
        <f>NA()</f>
        <v>#N/A</v>
      </c>
      <c r="C690" s="29" t="e">
        <v>#N/A</v>
      </c>
      <c r="D690" s="50">
        <f>57.9</f>
        <v>57.9</v>
      </c>
      <c r="E690" s="30">
        <v>57.9</v>
      </c>
      <c r="F690" s="29" t="e">
        <f>NA()</f>
        <v>#N/A</v>
      </c>
      <c r="G690" s="31" t="e">
        <v>#N/A</v>
      </c>
      <c r="H690" s="51" t="e">
        <f t="shared" si="51"/>
        <v>#N/A</v>
      </c>
      <c r="I690" s="29" t="e">
        <f>NA()</f>
        <v>#N/A</v>
      </c>
      <c r="J690" s="31" t="e">
        <v>#N/A</v>
      </c>
      <c r="K690" s="51" t="e">
        <f t="shared" si="52"/>
        <v>#N/A</v>
      </c>
      <c r="L690" s="29" t="e">
        <f>NA()</f>
        <v>#N/A</v>
      </c>
      <c r="M690" s="30" t="e">
        <v>#N/A</v>
      </c>
      <c r="N690" s="29" t="e">
        <f>NA()</f>
        <v>#N/A</v>
      </c>
      <c r="O690" s="29" t="e">
        <v>#N/A</v>
      </c>
      <c r="P690" s="51" t="e">
        <f t="shared" si="50"/>
        <v>#N/A</v>
      </c>
      <c r="Q690" s="29" t="e">
        <f>NA()</f>
        <v>#N/A</v>
      </c>
      <c r="R690" s="43" t="e">
        <v>#N/A</v>
      </c>
      <c r="S690" s="32" t="e">
        <f t="shared" si="53"/>
        <v>#N/A</v>
      </c>
      <c r="T690" s="54" t="e">
        <f>VLOOKUP(A690,[1]인포맥스!$A:$I,9,0)</f>
        <v>#N/A</v>
      </c>
      <c r="U690" s="70" t="e">
        <f t="shared" si="54"/>
        <v>#N/A</v>
      </c>
    </row>
    <row r="691" spans="1:21" x14ac:dyDescent="0.25">
      <c r="A691" s="3">
        <v>23407</v>
      </c>
      <c r="B691" s="29" t="e">
        <f>NA()</f>
        <v>#N/A</v>
      </c>
      <c r="C691" s="29" t="e">
        <v>#N/A</v>
      </c>
      <c r="D691" s="50">
        <f>57.1</f>
        <v>57.1</v>
      </c>
      <c r="E691" s="30">
        <v>57.1</v>
      </c>
      <c r="F691" s="29" t="e">
        <f>NA()</f>
        <v>#N/A</v>
      </c>
      <c r="G691" s="31" t="e">
        <v>#N/A</v>
      </c>
      <c r="H691" s="51" t="e">
        <f t="shared" si="51"/>
        <v>#N/A</v>
      </c>
      <c r="I691" s="29" t="e">
        <f>NA()</f>
        <v>#N/A</v>
      </c>
      <c r="J691" s="31" t="e">
        <v>#N/A</v>
      </c>
      <c r="K691" s="51" t="e">
        <f t="shared" si="52"/>
        <v>#N/A</v>
      </c>
      <c r="L691" s="29" t="e">
        <f>NA()</f>
        <v>#N/A</v>
      </c>
      <c r="M691" s="30" t="e">
        <v>#N/A</v>
      </c>
      <c r="N691" s="29" t="e">
        <f>NA()</f>
        <v>#N/A</v>
      </c>
      <c r="O691" s="29" t="e">
        <v>#N/A</v>
      </c>
      <c r="P691" s="51" t="e">
        <f t="shared" si="50"/>
        <v>#N/A</v>
      </c>
      <c r="Q691" s="29" t="e">
        <f>NA()</f>
        <v>#N/A</v>
      </c>
      <c r="R691" s="43" t="e">
        <v>#N/A</v>
      </c>
      <c r="S691" s="32" t="e">
        <f t="shared" si="53"/>
        <v>#N/A</v>
      </c>
      <c r="T691" s="54" t="e">
        <f>VLOOKUP(A691,[1]인포맥스!$A:$I,9,0)</f>
        <v>#N/A</v>
      </c>
      <c r="U691" s="70" t="e">
        <f t="shared" si="54"/>
        <v>#N/A</v>
      </c>
    </row>
    <row r="692" spans="1:21" x14ac:dyDescent="0.25">
      <c r="A692" s="3">
        <v>23376</v>
      </c>
      <c r="B692" s="29" t="e">
        <f>NA()</f>
        <v>#N/A</v>
      </c>
      <c r="C692" s="29" t="e">
        <v>#N/A</v>
      </c>
      <c r="D692" s="50">
        <f>54</f>
        <v>54</v>
      </c>
      <c r="E692" s="30">
        <v>54</v>
      </c>
      <c r="F692" s="29" t="e">
        <f>NA()</f>
        <v>#N/A</v>
      </c>
      <c r="G692" s="31" t="e">
        <v>#N/A</v>
      </c>
      <c r="H692" s="51" t="e">
        <f t="shared" si="51"/>
        <v>#N/A</v>
      </c>
      <c r="I692" s="29" t="e">
        <f>NA()</f>
        <v>#N/A</v>
      </c>
      <c r="J692" s="31" t="e">
        <v>#N/A</v>
      </c>
      <c r="K692" s="51" t="e">
        <f t="shared" si="52"/>
        <v>#N/A</v>
      </c>
      <c r="L692" s="29" t="e">
        <f>NA()</f>
        <v>#N/A</v>
      </c>
      <c r="M692" s="30" t="e">
        <v>#N/A</v>
      </c>
      <c r="N692" s="29" t="e">
        <f>NA()</f>
        <v>#N/A</v>
      </c>
      <c r="O692" s="29" t="e">
        <v>#N/A</v>
      </c>
      <c r="P692" s="51" t="e">
        <f t="shared" si="50"/>
        <v>#N/A</v>
      </c>
      <c r="Q692" s="29" t="e">
        <f>NA()</f>
        <v>#N/A</v>
      </c>
      <c r="R692" s="43" t="e">
        <v>#N/A</v>
      </c>
      <c r="S692" s="32" t="e">
        <f t="shared" si="53"/>
        <v>#N/A</v>
      </c>
      <c r="T692" s="54" t="e">
        <f>VLOOKUP(A692,[1]인포맥스!$A:$I,9,0)</f>
        <v>#N/A</v>
      </c>
      <c r="U692" s="70" t="e">
        <f t="shared" si="54"/>
        <v>#N/A</v>
      </c>
    </row>
    <row r="693" spans="1:21" x14ac:dyDescent="0.25">
      <c r="A693" s="3">
        <v>23345</v>
      </c>
      <c r="B693" s="29" t="e">
        <f>NA()</f>
        <v>#N/A</v>
      </c>
      <c r="C693" s="29" t="e">
        <v>#N/A</v>
      </c>
      <c r="D693" s="50">
        <f>57.5</f>
        <v>57.5</v>
      </c>
      <c r="E693" s="30">
        <v>57.5</v>
      </c>
      <c r="F693" s="29" t="e">
        <f>NA()</f>
        <v>#N/A</v>
      </c>
      <c r="G693" s="31" t="e">
        <v>#N/A</v>
      </c>
      <c r="H693" s="51" t="e">
        <f t="shared" si="51"/>
        <v>#N/A</v>
      </c>
      <c r="I693" s="29" t="e">
        <f>NA()</f>
        <v>#N/A</v>
      </c>
      <c r="J693" s="31" t="e">
        <v>#N/A</v>
      </c>
      <c r="K693" s="51" t="e">
        <f t="shared" si="52"/>
        <v>#N/A</v>
      </c>
      <c r="L693" s="29" t="e">
        <f>NA()</f>
        <v>#N/A</v>
      </c>
      <c r="M693" s="30" t="e">
        <v>#N/A</v>
      </c>
      <c r="N693" s="29" t="e">
        <f>NA()</f>
        <v>#N/A</v>
      </c>
      <c r="O693" s="29" t="e">
        <v>#N/A</v>
      </c>
      <c r="P693" s="51" t="e">
        <f t="shared" si="50"/>
        <v>#N/A</v>
      </c>
      <c r="Q693" s="29" t="e">
        <f>NA()</f>
        <v>#N/A</v>
      </c>
      <c r="R693" s="43" t="e">
        <v>#N/A</v>
      </c>
      <c r="S693" s="32" t="e">
        <f t="shared" si="53"/>
        <v>#N/A</v>
      </c>
      <c r="T693" s="54" t="e">
        <f>VLOOKUP(A693,[1]인포맥스!$A:$I,9,0)</f>
        <v>#N/A</v>
      </c>
      <c r="U693" s="70" t="e">
        <f t="shared" si="54"/>
        <v>#N/A</v>
      </c>
    </row>
    <row r="694" spans="1:21" x14ac:dyDescent="0.25">
      <c r="A694" s="3">
        <v>23315</v>
      </c>
      <c r="B694" s="29" t="e">
        <f>NA()</f>
        <v>#N/A</v>
      </c>
      <c r="C694" s="29" t="e">
        <v>#N/A</v>
      </c>
      <c r="D694" s="50">
        <f>57.7</f>
        <v>57.7</v>
      </c>
      <c r="E694" s="30">
        <v>57.7</v>
      </c>
      <c r="F694" s="29" t="e">
        <f>NA()</f>
        <v>#N/A</v>
      </c>
      <c r="G694" s="31" t="e">
        <v>#N/A</v>
      </c>
      <c r="H694" s="51" t="e">
        <f t="shared" si="51"/>
        <v>#N/A</v>
      </c>
      <c r="I694" s="29" t="e">
        <f>NA()</f>
        <v>#N/A</v>
      </c>
      <c r="J694" s="31" t="e">
        <v>#N/A</v>
      </c>
      <c r="K694" s="51" t="e">
        <f t="shared" si="52"/>
        <v>#N/A</v>
      </c>
      <c r="L694" s="29" t="e">
        <f>NA()</f>
        <v>#N/A</v>
      </c>
      <c r="M694" s="30" t="e">
        <v>#N/A</v>
      </c>
      <c r="N694" s="29" t="e">
        <f>NA()</f>
        <v>#N/A</v>
      </c>
      <c r="O694" s="29" t="e">
        <v>#N/A</v>
      </c>
      <c r="P694" s="51" t="e">
        <f t="shared" si="50"/>
        <v>#N/A</v>
      </c>
      <c r="Q694" s="29" t="e">
        <f>NA()</f>
        <v>#N/A</v>
      </c>
      <c r="R694" s="43" t="e">
        <v>#N/A</v>
      </c>
      <c r="S694" s="32" t="e">
        <f t="shared" si="53"/>
        <v>#N/A</v>
      </c>
      <c r="T694" s="54" t="e">
        <f>VLOOKUP(A694,[1]인포맥스!$A:$I,9,0)</f>
        <v>#N/A</v>
      </c>
      <c r="U694" s="70" t="e">
        <f t="shared" si="54"/>
        <v>#N/A</v>
      </c>
    </row>
    <row r="695" spans="1:21" x14ac:dyDescent="0.25">
      <c r="A695" s="3">
        <v>23284</v>
      </c>
      <c r="B695" s="29" t="e">
        <f>NA()</f>
        <v>#N/A</v>
      </c>
      <c r="C695" s="29" t="e">
        <v>#N/A</v>
      </c>
      <c r="D695" s="50">
        <f>56.9</f>
        <v>56.9</v>
      </c>
      <c r="E695" s="30">
        <v>56.9</v>
      </c>
      <c r="F695" s="29" t="e">
        <f>NA()</f>
        <v>#N/A</v>
      </c>
      <c r="G695" s="31" t="e">
        <v>#N/A</v>
      </c>
      <c r="H695" s="51" t="e">
        <f t="shared" si="51"/>
        <v>#N/A</v>
      </c>
      <c r="I695" s="29" t="e">
        <f>NA()</f>
        <v>#N/A</v>
      </c>
      <c r="J695" s="31" t="e">
        <v>#N/A</v>
      </c>
      <c r="K695" s="51" t="e">
        <f t="shared" si="52"/>
        <v>#N/A</v>
      </c>
      <c r="L695" s="29" t="e">
        <f>NA()</f>
        <v>#N/A</v>
      </c>
      <c r="M695" s="30" t="e">
        <v>#N/A</v>
      </c>
      <c r="N695" s="29" t="e">
        <f>NA()</f>
        <v>#N/A</v>
      </c>
      <c r="O695" s="29" t="e">
        <v>#N/A</v>
      </c>
      <c r="P695" s="51" t="e">
        <f t="shared" si="50"/>
        <v>#N/A</v>
      </c>
      <c r="Q695" s="29" t="e">
        <f>NA()</f>
        <v>#N/A</v>
      </c>
      <c r="R695" s="43" t="e">
        <v>#N/A</v>
      </c>
      <c r="S695" s="32" t="e">
        <f t="shared" si="53"/>
        <v>#N/A</v>
      </c>
      <c r="T695" s="54" t="e">
        <f>VLOOKUP(A695,[1]인포맥스!$A:$I,9,0)</f>
        <v>#N/A</v>
      </c>
      <c r="U695" s="70" t="e">
        <f t="shared" si="54"/>
        <v>#N/A</v>
      </c>
    </row>
    <row r="696" spans="1:21" x14ac:dyDescent="0.25">
      <c r="A696" s="3">
        <v>23254</v>
      </c>
      <c r="B696" s="29" t="e">
        <f>NA()</f>
        <v>#N/A</v>
      </c>
      <c r="C696" s="29" t="e">
        <v>#N/A</v>
      </c>
      <c r="D696" s="50">
        <f>55.1</f>
        <v>55.1</v>
      </c>
      <c r="E696" s="30">
        <v>55.1</v>
      </c>
      <c r="F696" s="29" t="e">
        <f>NA()</f>
        <v>#N/A</v>
      </c>
      <c r="G696" s="31" t="e">
        <v>#N/A</v>
      </c>
      <c r="H696" s="51" t="e">
        <f t="shared" si="51"/>
        <v>#N/A</v>
      </c>
      <c r="I696" s="29" t="e">
        <f>NA()</f>
        <v>#N/A</v>
      </c>
      <c r="J696" s="31" t="e">
        <v>#N/A</v>
      </c>
      <c r="K696" s="51" t="e">
        <f t="shared" si="52"/>
        <v>#N/A</v>
      </c>
      <c r="L696" s="29" t="e">
        <f>NA()</f>
        <v>#N/A</v>
      </c>
      <c r="M696" s="30" t="e">
        <v>#N/A</v>
      </c>
      <c r="N696" s="29" t="e">
        <f>NA()</f>
        <v>#N/A</v>
      </c>
      <c r="O696" s="29" t="e">
        <v>#N/A</v>
      </c>
      <c r="P696" s="51" t="e">
        <f t="shared" si="50"/>
        <v>#N/A</v>
      </c>
      <c r="Q696" s="29" t="e">
        <f>NA()</f>
        <v>#N/A</v>
      </c>
      <c r="R696" s="43" t="e">
        <v>#N/A</v>
      </c>
      <c r="S696" s="32" t="e">
        <f t="shared" si="53"/>
        <v>#N/A</v>
      </c>
      <c r="T696" s="54" t="e">
        <f>VLOOKUP(A696,[1]인포맥스!$A:$I,9,0)</f>
        <v>#N/A</v>
      </c>
      <c r="U696" s="70" t="e">
        <f t="shared" si="54"/>
        <v>#N/A</v>
      </c>
    </row>
    <row r="697" spans="1:21" x14ac:dyDescent="0.25">
      <c r="A697" s="3">
        <v>23223</v>
      </c>
      <c r="B697" s="29" t="e">
        <f>NA()</f>
        <v>#N/A</v>
      </c>
      <c r="C697" s="29" t="e">
        <v>#N/A</v>
      </c>
      <c r="D697" s="50">
        <f>55.5</f>
        <v>55.5</v>
      </c>
      <c r="E697" s="30">
        <v>55.5</v>
      </c>
      <c r="F697" s="29" t="e">
        <f>NA()</f>
        <v>#N/A</v>
      </c>
      <c r="G697" s="31" t="e">
        <v>#N/A</v>
      </c>
      <c r="H697" s="51" t="e">
        <f t="shared" si="51"/>
        <v>#N/A</v>
      </c>
      <c r="I697" s="29" t="e">
        <f>NA()</f>
        <v>#N/A</v>
      </c>
      <c r="J697" s="31" t="e">
        <v>#N/A</v>
      </c>
      <c r="K697" s="51" t="e">
        <f t="shared" si="52"/>
        <v>#N/A</v>
      </c>
      <c r="L697" s="29" t="e">
        <f>NA()</f>
        <v>#N/A</v>
      </c>
      <c r="M697" s="30" t="e">
        <v>#N/A</v>
      </c>
      <c r="N697" s="29" t="e">
        <f>NA()</f>
        <v>#N/A</v>
      </c>
      <c r="O697" s="29" t="e">
        <v>#N/A</v>
      </c>
      <c r="P697" s="51" t="e">
        <f t="shared" si="50"/>
        <v>#N/A</v>
      </c>
      <c r="Q697" s="29" t="e">
        <f>NA()</f>
        <v>#N/A</v>
      </c>
      <c r="R697" s="43" t="e">
        <v>#N/A</v>
      </c>
      <c r="S697" s="32" t="e">
        <f t="shared" si="53"/>
        <v>#N/A</v>
      </c>
      <c r="T697" s="54" t="e">
        <f>VLOOKUP(A697,[1]인포맥스!$A:$I,9,0)</f>
        <v>#N/A</v>
      </c>
      <c r="U697" s="70" t="e">
        <f t="shared" si="54"/>
        <v>#N/A</v>
      </c>
    </row>
    <row r="698" spans="1:21" x14ac:dyDescent="0.25">
      <c r="A698" s="3">
        <v>23192</v>
      </c>
      <c r="B698" s="29" t="e">
        <f>NA()</f>
        <v>#N/A</v>
      </c>
      <c r="C698" s="29" t="e">
        <v>#N/A</v>
      </c>
      <c r="D698" s="50">
        <f>58.2</f>
        <v>58.2</v>
      </c>
      <c r="E698" s="30">
        <v>58.2</v>
      </c>
      <c r="F698" s="29" t="e">
        <f>NA()</f>
        <v>#N/A</v>
      </c>
      <c r="G698" s="31" t="e">
        <v>#N/A</v>
      </c>
      <c r="H698" s="51" t="e">
        <f t="shared" si="51"/>
        <v>#N/A</v>
      </c>
      <c r="I698" s="29" t="e">
        <f>NA()</f>
        <v>#N/A</v>
      </c>
      <c r="J698" s="31" t="e">
        <v>#N/A</v>
      </c>
      <c r="K698" s="51" t="e">
        <f t="shared" si="52"/>
        <v>#N/A</v>
      </c>
      <c r="L698" s="29" t="e">
        <f>NA()</f>
        <v>#N/A</v>
      </c>
      <c r="M698" s="30" t="e">
        <v>#N/A</v>
      </c>
      <c r="N698" s="29" t="e">
        <f>NA()</f>
        <v>#N/A</v>
      </c>
      <c r="O698" s="29" t="e">
        <v>#N/A</v>
      </c>
      <c r="P698" s="51" t="e">
        <f t="shared" si="50"/>
        <v>#N/A</v>
      </c>
      <c r="Q698" s="29" t="e">
        <f>NA()</f>
        <v>#N/A</v>
      </c>
      <c r="R698" s="43" t="e">
        <v>#N/A</v>
      </c>
      <c r="S698" s="32" t="e">
        <f t="shared" si="53"/>
        <v>#N/A</v>
      </c>
      <c r="T698" s="54" t="e">
        <f>VLOOKUP(A698,[1]인포맥스!$A:$I,9,0)</f>
        <v>#N/A</v>
      </c>
      <c r="U698" s="70" t="e">
        <f t="shared" si="54"/>
        <v>#N/A</v>
      </c>
    </row>
    <row r="699" spans="1:21" x14ac:dyDescent="0.25">
      <c r="A699" s="3">
        <v>23162</v>
      </c>
      <c r="B699" s="29" t="e">
        <f>NA()</f>
        <v>#N/A</v>
      </c>
      <c r="C699" s="29" t="e">
        <v>#N/A</v>
      </c>
      <c r="D699" s="50">
        <f>59.8</f>
        <v>59.8</v>
      </c>
      <c r="E699" s="30">
        <v>59.8</v>
      </c>
      <c r="F699" s="29" t="e">
        <f>NA()</f>
        <v>#N/A</v>
      </c>
      <c r="G699" s="31" t="e">
        <v>#N/A</v>
      </c>
      <c r="H699" s="51" t="e">
        <f t="shared" si="51"/>
        <v>#N/A</v>
      </c>
      <c r="I699" s="29" t="e">
        <f>NA()</f>
        <v>#N/A</v>
      </c>
      <c r="J699" s="31" t="e">
        <v>#N/A</v>
      </c>
      <c r="K699" s="51" t="e">
        <f t="shared" si="52"/>
        <v>#N/A</v>
      </c>
      <c r="L699" s="29" t="e">
        <f>NA()</f>
        <v>#N/A</v>
      </c>
      <c r="M699" s="30" t="e">
        <v>#N/A</v>
      </c>
      <c r="N699" s="29" t="e">
        <f>NA()</f>
        <v>#N/A</v>
      </c>
      <c r="O699" s="29" t="e">
        <v>#N/A</v>
      </c>
      <c r="P699" s="51" t="e">
        <f t="shared" si="50"/>
        <v>#N/A</v>
      </c>
      <c r="Q699" s="29" t="e">
        <f>NA()</f>
        <v>#N/A</v>
      </c>
      <c r="R699" s="43" t="e">
        <v>#N/A</v>
      </c>
      <c r="S699" s="32" t="e">
        <f t="shared" si="53"/>
        <v>#N/A</v>
      </c>
      <c r="T699" s="54" t="e">
        <f>VLOOKUP(A699,[1]인포맥스!$A:$I,9,0)</f>
        <v>#N/A</v>
      </c>
      <c r="U699" s="70" t="e">
        <f t="shared" si="54"/>
        <v>#N/A</v>
      </c>
    </row>
    <row r="700" spans="1:21" x14ac:dyDescent="0.25">
      <c r="A700" s="3">
        <v>23131</v>
      </c>
      <c r="B700" s="29" t="e">
        <f>NA()</f>
        <v>#N/A</v>
      </c>
      <c r="C700" s="29" t="e">
        <v>#N/A</v>
      </c>
      <c r="D700" s="50">
        <f>57.6</f>
        <v>57.6</v>
      </c>
      <c r="E700" s="30">
        <v>57.6</v>
      </c>
      <c r="F700" s="29" t="e">
        <f>NA()</f>
        <v>#N/A</v>
      </c>
      <c r="G700" s="31" t="e">
        <v>#N/A</v>
      </c>
      <c r="H700" s="51" t="e">
        <f t="shared" si="51"/>
        <v>#N/A</v>
      </c>
      <c r="I700" s="29" t="e">
        <f>NA()</f>
        <v>#N/A</v>
      </c>
      <c r="J700" s="31" t="e">
        <v>#N/A</v>
      </c>
      <c r="K700" s="51" t="e">
        <f t="shared" si="52"/>
        <v>#N/A</v>
      </c>
      <c r="L700" s="29" t="e">
        <f>NA()</f>
        <v>#N/A</v>
      </c>
      <c r="M700" s="30" t="e">
        <v>#N/A</v>
      </c>
      <c r="N700" s="29" t="e">
        <f>NA()</f>
        <v>#N/A</v>
      </c>
      <c r="O700" s="29" t="e">
        <v>#N/A</v>
      </c>
      <c r="P700" s="51" t="e">
        <f t="shared" si="50"/>
        <v>#N/A</v>
      </c>
      <c r="Q700" s="29" t="e">
        <f>NA()</f>
        <v>#N/A</v>
      </c>
      <c r="R700" s="43" t="e">
        <v>#N/A</v>
      </c>
      <c r="S700" s="32" t="e">
        <f t="shared" si="53"/>
        <v>#N/A</v>
      </c>
      <c r="T700" s="54" t="e">
        <f>VLOOKUP(A700,[1]인포맥스!$A:$I,9,0)</f>
        <v>#N/A</v>
      </c>
      <c r="U700" s="70" t="e">
        <f t="shared" si="54"/>
        <v>#N/A</v>
      </c>
    </row>
    <row r="701" spans="1:21" x14ac:dyDescent="0.25">
      <c r="A701" s="3">
        <v>23101</v>
      </c>
      <c r="B701" s="29" t="e">
        <f>NA()</f>
        <v>#N/A</v>
      </c>
      <c r="C701" s="29" t="e">
        <v>#N/A</v>
      </c>
      <c r="D701" s="50">
        <f>54.7</f>
        <v>54.7</v>
      </c>
      <c r="E701" s="30">
        <v>54.7</v>
      </c>
      <c r="F701" s="29" t="e">
        <f>NA()</f>
        <v>#N/A</v>
      </c>
      <c r="G701" s="31" t="e">
        <v>#N/A</v>
      </c>
      <c r="H701" s="51" t="e">
        <f t="shared" si="51"/>
        <v>#N/A</v>
      </c>
      <c r="I701" s="29" t="e">
        <f>NA()</f>
        <v>#N/A</v>
      </c>
      <c r="J701" s="31" t="e">
        <v>#N/A</v>
      </c>
      <c r="K701" s="51" t="e">
        <f t="shared" si="52"/>
        <v>#N/A</v>
      </c>
      <c r="L701" s="29" t="e">
        <f>NA()</f>
        <v>#N/A</v>
      </c>
      <c r="M701" s="30" t="e">
        <v>#N/A</v>
      </c>
      <c r="N701" s="29" t="e">
        <f>NA()</f>
        <v>#N/A</v>
      </c>
      <c r="O701" s="29" t="e">
        <v>#N/A</v>
      </c>
      <c r="P701" s="51" t="e">
        <f t="shared" si="50"/>
        <v>#N/A</v>
      </c>
      <c r="Q701" s="29" t="e">
        <f>NA()</f>
        <v>#N/A</v>
      </c>
      <c r="R701" s="43" t="e">
        <v>#N/A</v>
      </c>
      <c r="S701" s="32" t="e">
        <f t="shared" si="53"/>
        <v>#N/A</v>
      </c>
      <c r="T701" s="54" t="e">
        <f>VLOOKUP(A701,[1]인포맥스!$A:$I,9,0)</f>
        <v>#N/A</v>
      </c>
      <c r="U701" s="70" t="e">
        <f t="shared" si="54"/>
        <v>#N/A</v>
      </c>
    </row>
    <row r="702" spans="1:21" x14ac:dyDescent="0.25">
      <c r="A702" s="3">
        <v>23070</v>
      </c>
      <c r="B702" s="29" t="e">
        <f>NA()</f>
        <v>#N/A</v>
      </c>
      <c r="C702" s="29" t="e">
        <v>#N/A</v>
      </c>
      <c r="D702" s="50">
        <f>55.1</f>
        <v>55.1</v>
      </c>
      <c r="E702" s="30">
        <v>55.1</v>
      </c>
      <c r="F702" s="29" t="e">
        <f>NA()</f>
        <v>#N/A</v>
      </c>
      <c r="G702" s="31" t="e">
        <v>#N/A</v>
      </c>
      <c r="H702" s="51" t="e">
        <f t="shared" si="51"/>
        <v>#N/A</v>
      </c>
      <c r="I702" s="29" t="e">
        <f>NA()</f>
        <v>#N/A</v>
      </c>
      <c r="J702" s="31" t="e">
        <v>#N/A</v>
      </c>
      <c r="K702" s="51" t="e">
        <f t="shared" si="52"/>
        <v>#N/A</v>
      </c>
      <c r="L702" s="29" t="e">
        <f>NA()</f>
        <v>#N/A</v>
      </c>
      <c r="M702" s="30" t="e">
        <v>#N/A</v>
      </c>
      <c r="N702" s="29" t="e">
        <f>NA()</f>
        <v>#N/A</v>
      </c>
      <c r="O702" s="29" t="e">
        <v>#N/A</v>
      </c>
      <c r="P702" s="51" t="e">
        <f t="shared" si="50"/>
        <v>#N/A</v>
      </c>
      <c r="Q702" s="29" t="e">
        <f>NA()</f>
        <v>#N/A</v>
      </c>
      <c r="R702" s="43" t="e">
        <v>#N/A</v>
      </c>
      <c r="S702" s="32" t="e">
        <f t="shared" si="53"/>
        <v>#N/A</v>
      </c>
      <c r="T702" s="54" t="e">
        <f>VLOOKUP(A702,[1]인포맥스!$A:$I,9,0)</f>
        <v>#N/A</v>
      </c>
      <c r="U702" s="70" t="e">
        <f t="shared" si="54"/>
        <v>#N/A</v>
      </c>
    </row>
    <row r="703" spans="1:21" x14ac:dyDescent="0.25">
      <c r="A703" s="3">
        <v>23042</v>
      </c>
      <c r="B703" s="29" t="e">
        <f>NA()</f>
        <v>#N/A</v>
      </c>
      <c r="C703" s="29" t="e">
        <v>#N/A</v>
      </c>
      <c r="D703" s="50">
        <f>55.2</f>
        <v>55.2</v>
      </c>
      <c r="E703" s="30">
        <v>55.2</v>
      </c>
      <c r="F703" s="29" t="e">
        <f>NA()</f>
        <v>#N/A</v>
      </c>
      <c r="G703" s="31" t="e">
        <v>#N/A</v>
      </c>
      <c r="H703" s="51" t="e">
        <f t="shared" si="51"/>
        <v>#N/A</v>
      </c>
      <c r="I703" s="29" t="e">
        <f>NA()</f>
        <v>#N/A</v>
      </c>
      <c r="J703" s="31" t="e">
        <v>#N/A</v>
      </c>
      <c r="K703" s="51" t="e">
        <f t="shared" si="52"/>
        <v>#N/A</v>
      </c>
      <c r="L703" s="29" t="e">
        <f>NA()</f>
        <v>#N/A</v>
      </c>
      <c r="M703" s="30" t="e">
        <v>#N/A</v>
      </c>
      <c r="N703" s="29" t="e">
        <f>NA()</f>
        <v>#N/A</v>
      </c>
      <c r="O703" s="29" t="e">
        <v>#N/A</v>
      </c>
      <c r="P703" s="51" t="e">
        <f t="shared" si="50"/>
        <v>#N/A</v>
      </c>
      <c r="Q703" s="29" t="e">
        <f>NA()</f>
        <v>#N/A</v>
      </c>
      <c r="R703" s="43" t="e">
        <v>#N/A</v>
      </c>
      <c r="S703" s="32" t="e">
        <f t="shared" si="53"/>
        <v>#N/A</v>
      </c>
      <c r="T703" s="54" t="e">
        <f>VLOOKUP(A703,[1]인포맥스!$A:$I,9,0)</f>
        <v>#N/A</v>
      </c>
      <c r="U703" s="70" t="e">
        <f t="shared" si="54"/>
        <v>#N/A</v>
      </c>
    </row>
    <row r="704" spans="1:21" x14ac:dyDescent="0.25">
      <c r="A704" s="3">
        <v>23011</v>
      </c>
      <c r="B704" s="29" t="e">
        <f>NA()</f>
        <v>#N/A</v>
      </c>
      <c r="C704" s="29" t="e">
        <v>#N/A</v>
      </c>
      <c r="D704" s="50">
        <f>57.2</f>
        <v>57.2</v>
      </c>
      <c r="E704" s="30">
        <v>57.2</v>
      </c>
      <c r="F704" s="29" t="e">
        <f>NA()</f>
        <v>#N/A</v>
      </c>
      <c r="G704" s="31" t="e">
        <v>#N/A</v>
      </c>
      <c r="H704" s="51" t="e">
        <f t="shared" si="51"/>
        <v>#N/A</v>
      </c>
      <c r="I704" s="29" t="e">
        <f>NA()</f>
        <v>#N/A</v>
      </c>
      <c r="J704" s="31" t="e">
        <v>#N/A</v>
      </c>
      <c r="K704" s="51" t="e">
        <f t="shared" si="52"/>
        <v>#N/A</v>
      </c>
      <c r="L704" s="29" t="e">
        <f>NA()</f>
        <v>#N/A</v>
      </c>
      <c r="M704" s="30" t="e">
        <v>#N/A</v>
      </c>
      <c r="N704" s="29" t="e">
        <f>NA()</f>
        <v>#N/A</v>
      </c>
      <c r="O704" s="29" t="e">
        <v>#N/A</v>
      </c>
      <c r="P704" s="51" t="e">
        <f t="shared" si="50"/>
        <v>#N/A</v>
      </c>
      <c r="Q704" s="29" t="e">
        <f>NA()</f>
        <v>#N/A</v>
      </c>
      <c r="R704" s="43" t="e">
        <v>#N/A</v>
      </c>
      <c r="S704" s="32" t="e">
        <f t="shared" si="53"/>
        <v>#N/A</v>
      </c>
      <c r="T704" s="54" t="e">
        <f>VLOOKUP(A704,[1]인포맥스!$A:$I,9,0)</f>
        <v>#N/A</v>
      </c>
      <c r="U704" s="70" t="e">
        <f t="shared" si="54"/>
        <v>#N/A</v>
      </c>
    </row>
    <row r="705" spans="1:21" x14ac:dyDescent="0.25">
      <c r="A705" s="3">
        <v>22980</v>
      </c>
      <c r="B705" s="29" t="e">
        <f>NA()</f>
        <v>#N/A</v>
      </c>
      <c r="C705" s="29" t="e">
        <v>#N/A</v>
      </c>
      <c r="D705" s="50">
        <f>53.8</f>
        <v>53.8</v>
      </c>
      <c r="E705" s="30">
        <v>53.8</v>
      </c>
      <c r="F705" s="29" t="e">
        <f>NA()</f>
        <v>#N/A</v>
      </c>
      <c r="G705" s="31" t="e">
        <v>#N/A</v>
      </c>
      <c r="H705" s="51" t="e">
        <f t="shared" si="51"/>
        <v>#N/A</v>
      </c>
      <c r="I705" s="29" t="e">
        <f>NA()</f>
        <v>#N/A</v>
      </c>
      <c r="J705" s="31" t="e">
        <v>#N/A</v>
      </c>
      <c r="K705" s="51" t="e">
        <f t="shared" si="52"/>
        <v>#N/A</v>
      </c>
      <c r="L705" s="29" t="e">
        <f>NA()</f>
        <v>#N/A</v>
      </c>
      <c r="M705" s="30" t="e">
        <v>#N/A</v>
      </c>
      <c r="N705" s="29" t="e">
        <f>NA()</f>
        <v>#N/A</v>
      </c>
      <c r="O705" s="29" t="e">
        <v>#N/A</v>
      </c>
      <c r="P705" s="51" t="e">
        <f t="shared" si="50"/>
        <v>#N/A</v>
      </c>
      <c r="Q705" s="29" t="e">
        <f>NA()</f>
        <v>#N/A</v>
      </c>
      <c r="R705" s="43" t="e">
        <v>#N/A</v>
      </c>
      <c r="S705" s="32" t="e">
        <f t="shared" si="53"/>
        <v>#N/A</v>
      </c>
      <c r="T705" s="54" t="e">
        <f>VLOOKUP(A705,[1]인포맥스!$A:$I,9,0)</f>
        <v>#N/A</v>
      </c>
      <c r="U705" s="70" t="e">
        <f t="shared" si="54"/>
        <v>#N/A</v>
      </c>
    </row>
    <row r="706" spans="1:21" x14ac:dyDescent="0.25">
      <c r="A706" s="3">
        <v>22950</v>
      </c>
      <c r="B706" s="29" t="e">
        <f>NA()</f>
        <v>#N/A</v>
      </c>
      <c r="C706" s="29" t="e">
        <v>#N/A</v>
      </c>
      <c r="D706" s="50">
        <f>51.2</f>
        <v>51.2</v>
      </c>
      <c r="E706" s="30">
        <v>51.2</v>
      </c>
      <c r="F706" s="29" t="e">
        <f>NA()</f>
        <v>#N/A</v>
      </c>
      <c r="G706" s="31" t="e">
        <v>#N/A</v>
      </c>
      <c r="H706" s="51" t="e">
        <f t="shared" si="51"/>
        <v>#N/A</v>
      </c>
      <c r="I706" s="29" t="e">
        <f>NA()</f>
        <v>#N/A</v>
      </c>
      <c r="J706" s="31" t="e">
        <v>#N/A</v>
      </c>
      <c r="K706" s="51" t="e">
        <f t="shared" si="52"/>
        <v>#N/A</v>
      </c>
      <c r="L706" s="29" t="e">
        <f>NA()</f>
        <v>#N/A</v>
      </c>
      <c r="M706" s="30" t="e">
        <v>#N/A</v>
      </c>
      <c r="N706" s="29" t="e">
        <f>NA()</f>
        <v>#N/A</v>
      </c>
      <c r="O706" s="29" t="e">
        <v>#N/A</v>
      </c>
      <c r="P706" s="51" t="e">
        <f t="shared" si="50"/>
        <v>#N/A</v>
      </c>
      <c r="Q706" s="29" t="e">
        <f>NA()</f>
        <v>#N/A</v>
      </c>
      <c r="R706" s="43" t="e">
        <v>#N/A</v>
      </c>
      <c r="S706" s="32" t="e">
        <f t="shared" si="53"/>
        <v>#N/A</v>
      </c>
      <c r="T706" s="54" t="e">
        <f>VLOOKUP(A706,[1]인포맥스!$A:$I,9,0)</f>
        <v>#N/A</v>
      </c>
      <c r="U706" s="70" t="e">
        <f t="shared" si="54"/>
        <v>#N/A</v>
      </c>
    </row>
    <row r="707" spans="1:21" x14ac:dyDescent="0.25">
      <c r="A707" s="3">
        <v>22919</v>
      </c>
      <c r="B707" s="29" t="e">
        <f>NA()</f>
        <v>#N/A</v>
      </c>
      <c r="C707" s="29" t="e">
        <v>#N/A</v>
      </c>
      <c r="D707" s="50">
        <f>50</f>
        <v>50</v>
      </c>
      <c r="E707" s="30">
        <v>50</v>
      </c>
      <c r="F707" s="29" t="e">
        <f>NA()</f>
        <v>#N/A</v>
      </c>
      <c r="G707" s="31" t="e">
        <v>#N/A</v>
      </c>
      <c r="H707" s="51" t="e">
        <f t="shared" si="51"/>
        <v>#N/A</v>
      </c>
      <c r="I707" s="29" t="e">
        <f>NA()</f>
        <v>#N/A</v>
      </c>
      <c r="J707" s="31" t="e">
        <v>#N/A</v>
      </c>
      <c r="K707" s="51" t="e">
        <f t="shared" si="52"/>
        <v>#N/A</v>
      </c>
      <c r="L707" s="29" t="e">
        <f>NA()</f>
        <v>#N/A</v>
      </c>
      <c r="M707" s="30" t="e">
        <v>#N/A</v>
      </c>
      <c r="N707" s="29" t="e">
        <f>NA()</f>
        <v>#N/A</v>
      </c>
      <c r="O707" s="29" t="e">
        <v>#N/A</v>
      </c>
      <c r="P707" s="51" t="e">
        <f t="shared" si="50"/>
        <v>#N/A</v>
      </c>
      <c r="Q707" s="29" t="e">
        <f>NA()</f>
        <v>#N/A</v>
      </c>
      <c r="R707" s="43" t="e">
        <v>#N/A</v>
      </c>
      <c r="S707" s="32" t="e">
        <f t="shared" si="53"/>
        <v>#N/A</v>
      </c>
      <c r="T707" s="54" t="e">
        <f>VLOOKUP(A707,[1]인포맥스!$A:$I,9,0)</f>
        <v>#N/A</v>
      </c>
      <c r="U707" s="70" t="e">
        <f t="shared" si="54"/>
        <v>#N/A</v>
      </c>
    </row>
    <row r="708" spans="1:21" x14ac:dyDescent="0.25">
      <c r="A708" s="3">
        <v>22889</v>
      </c>
      <c r="B708" s="29" t="e">
        <f>NA()</f>
        <v>#N/A</v>
      </c>
      <c r="C708" s="29" t="e">
        <v>#N/A</v>
      </c>
      <c r="D708" s="50">
        <f>49.5</f>
        <v>49.5</v>
      </c>
      <c r="E708" s="30">
        <v>49.5</v>
      </c>
      <c r="F708" s="29" t="e">
        <f>NA()</f>
        <v>#N/A</v>
      </c>
      <c r="G708" s="31" t="e">
        <v>#N/A</v>
      </c>
      <c r="H708" s="51" t="e">
        <f t="shared" si="51"/>
        <v>#N/A</v>
      </c>
      <c r="I708" s="29" t="e">
        <f>NA()</f>
        <v>#N/A</v>
      </c>
      <c r="J708" s="31" t="e">
        <v>#N/A</v>
      </c>
      <c r="K708" s="51" t="e">
        <f t="shared" si="52"/>
        <v>#N/A</v>
      </c>
      <c r="L708" s="29" t="e">
        <f>NA()</f>
        <v>#N/A</v>
      </c>
      <c r="M708" s="30" t="e">
        <v>#N/A</v>
      </c>
      <c r="N708" s="29" t="e">
        <f>NA()</f>
        <v>#N/A</v>
      </c>
      <c r="O708" s="29" t="e">
        <v>#N/A</v>
      </c>
      <c r="P708" s="51" t="e">
        <f t="shared" si="50"/>
        <v>#N/A</v>
      </c>
      <c r="Q708" s="29" t="e">
        <f>NA()</f>
        <v>#N/A</v>
      </c>
      <c r="R708" s="43" t="e">
        <v>#N/A</v>
      </c>
      <c r="S708" s="32" t="e">
        <f t="shared" si="53"/>
        <v>#N/A</v>
      </c>
      <c r="T708" s="54" t="e">
        <f>VLOOKUP(A708,[1]인포맥스!$A:$I,9,0)</f>
        <v>#N/A</v>
      </c>
      <c r="U708" s="70" t="e">
        <f t="shared" si="54"/>
        <v>#N/A</v>
      </c>
    </row>
    <row r="709" spans="1:21" x14ac:dyDescent="0.25">
      <c r="A709" s="3">
        <v>22858</v>
      </c>
      <c r="B709" s="29" t="e">
        <f>NA()</f>
        <v>#N/A</v>
      </c>
      <c r="C709" s="29" t="e">
        <v>#N/A</v>
      </c>
      <c r="D709" s="50">
        <f>51</f>
        <v>51</v>
      </c>
      <c r="E709" s="30">
        <v>51</v>
      </c>
      <c r="F709" s="29" t="e">
        <f>NA()</f>
        <v>#N/A</v>
      </c>
      <c r="G709" s="31" t="e">
        <v>#N/A</v>
      </c>
      <c r="H709" s="51" t="e">
        <f t="shared" si="51"/>
        <v>#N/A</v>
      </c>
      <c r="I709" s="29" t="e">
        <f>NA()</f>
        <v>#N/A</v>
      </c>
      <c r="J709" s="31" t="e">
        <v>#N/A</v>
      </c>
      <c r="K709" s="51" t="e">
        <f t="shared" si="52"/>
        <v>#N/A</v>
      </c>
      <c r="L709" s="29" t="e">
        <f>NA()</f>
        <v>#N/A</v>
      </c>
      <c r="M709" s="30" t="e">
        <v>#N/A</v>
      </c>
      <c r="N709" s="29" t="e">
        <f>NA()</f>
        <v>#N/A</v>
      </c>
      <c r="O709" s="29" t="e">
        <v>#N/A</v>
      </c>
      <c r="P709" s="51" t="e">
        <f t="shared" ref="P709:P772" si="55">(O709-O721)/O721</f>
        <v>#N/A</v>
      </c>
      <c r="Q709" s="29" t="e">
        <f>NA()</f>
        <v>#N/A</v>
      </c>
      <c r="R709" s="43" t="e">
        <v>#N/A</v>
      </c>
      <c r="S709" s="32" t="e">
        <f t="shared" si="53"/>
        <v>#N/A</v>
      </c>
      <c r="T709" s="54" t="e">
        <f>VLOOKUP(A709,[1]인포맥스!$A:$I,9,0)</f>
        <v>#N/A</v>
      </c>
      <c r="U709" s="70" t="e">
        <f t="shared" si="54"/>
        <v>#N/A</v>
      </c>
    </row>
    <row r="710" spans="1:21" x14ac:dyDescent="0.25">
      <c r="A710" s="3">
        <v>22827</v>
      </c>
      <c r="B710" s="29" t="e">
        <f>NA()</f>
        <v>#N/A</v>
      </c>
      <c r="C710" s="29" t="e">
        <v>#N/A</v>
      </c>
      <c r="D710" s="50">
        <f>50.8</f>
        <v>50.8</v>
      </c>
      <c r="E710" s="30">
        <v>50.8</v>
      </c>
      <c r="F710" s="29" t="e">
        <f>NA()</f>
        <v>#N/A</v>
      </c>
      <c r="G710" s="31" t="e">
        <v>#N/A</v>
      </c>
      <c r="H710" s="51" t="e">
        <f t="shared" ref="H710:H773" si="56">(G710-G722)/G722</f>
        <v>#N/A</v>
      </c>
      <c r="I710" s="29" t="e">
        <f>NA()</f>
        <v>#N/A</v>
      </c>
      <c r="J710" s="31" t="e">
        <v>#N/A</v>
      </c>
      <c r="K710" s="51" t="e">
        <f t="shared" ref="K710:K773" si="57">(J710-J722)/J722</f>
        <v>#N/A</v>
      </c>
      <c r="L710" s="29" t="e">
        <f>NA()</f>
        <v>#N/A</v>
      </c>
      <c r="M710" s="30" t="e">
        <v>#N/A</v>
      </c>
      <c r="N710" s="29" t="e">
        <f>NA()</f>
        <v>#N/A</v>
      </c>
      <c r="O710" s="29" t="e">
        <v>#N/A</v>
      </c>
      <c r="P710" s="51" t="e">
        <f t="shared" si="55"/>
        <v>#N/A</v>
      </c>
      <c r="Q710" s="29" t="e">
        <f>NA()</f>
        <v>#N/A</v>
      </c>
      <c r="R710" s="43" t="e">
        <v>#N/A</v>
      </c>
      <c r="S710" s="32" t="e">
        <f t="shared" ref="S710:S773" si="58">(R710-R722)/R722</f>
        <v>#N/A</v>
      </c>
      <c r="T710" s="54" t="e">
        <f>VLOOKUP(A710,[1]인포맥스!$A:$I,9,0)</f>
        <v>#N/A</v>
      </c>
      <c r="U710" s="70" t="e">
        <f t="shared" ref="U710:U773" si="59">(T710-T722)/T722</f>
        <v>#N/A</v>
      </c>
    </row>
    <row r="711" spans="1:21" x14ac:dyDescent="0.25">
      <c r="A711" s="3">
        <v>22797</v>
      </c>
      <c r="B711" s="29" t="e">
        <f>NA()</f>
        <v>#N/A</v>
      </c>
      <c r="C711" s="29" t="e">
        <v>#N/A</v>
      </c>
      <c r="D711" s="50">
        <f>52.2</f>
        <v>52.2</v>
      </c>
      <c r="E711" s="30">
        <v>52.2</v>
      </c>
      <c r="F711" s="29" t="e">
        <f>NA()</f>
        <v>#N/A</v>
      </c>
      <c r="G711" s="31" t="e">
        <v>#N/A</v>
      </c>
      <c r="H711" s="51" t="e">
        <f t="shared" si="56"/>
        <v>#N/A</v>
      </c>
      <c r="I711" s="29" t="e">
        <f>NA()</f>
        <v>#N/A</v>
      </c>
      <c r="J711" s="31" t="e">
        <v>#N/A</v>
      </c>
      <c r="K711" s="51" t="e">
        <f t="shared" si="57"/>
        <v>#N/A</v>
      </c>
      <c r="L711" s="29" t="e">
        <f>NA()</f>
        <v>#N/A</v>
      </c>
      <c r="M711" s="30" t="e">
        <v>#N/A</v>
      </c>
      <c r="N711" s="29" t="e">
        <f>NA()</f>
        <v>#N/A</v>
      </c>
      <c r="O711" s="29" t="e">
        <v>#N/A</v>
      </c>
      <c r="P711" s="51" t="e">
        <f t="shared" si="55"/>
        <v>#N/A</v>
      </c>
      <c r="Q711" s="29" t="e">
        <f>NA()</f>
        <v>#N/A</v>
      </c>
      <c r="R711" s="43" t="e">
        <v>#N/A</v>
      </c>
      <c r="S711" s="32" t="e">
        <f t="shared" si="58"/>
        <v>#N/A</v>
      </c>
      <c r="T711" s="54" t="e">
        <f>VLOOKUP(A711,[1]인포맥스!$A:$I,9,0)</f>
        <v>#N/A</v>
      </c>
      <c r="U711" s="70" t="e">
        <f t="shared" si="59"/>
        <v>#N/A</v>
      </c>
    </row>
    <row r="712" spans="1:21" x14ac:dyDescent="0.25">
      <c r="A712" s="3">
        <v>22766</v>
      </c>
      <c r="B712" s="29" t="e">
        <f>NA()</f>
        <v>#N/A</v>
      </c>
      <c r="C712" s="29" t="e">
        <v>#N/A</v>
      </c>
      <c r="D712" s="50">
        <f>55.1</f>
        <v>55.1</v>
      </c>
      <c r="E712" s="30">
        <v>55.1</v>
      </c>
      <c r="F712" s="29" t="e">
        <f>NA()</f>
        <v>#N/A</v>
      </c>
      <c r="G712" s="31" t="e">
        <v>#N/A</v>
      </c>
      <c r="H712" s="51" t="e">
        <f t="shared" si="56"/>
        <v>#N/A</v>
      </c>
      <c r="I712" s="29" t="e">
        <f>NA()</f>
        <v>#N/A</v>
      </c>
      <c r="J712" s="31" t="e">
        <v>#N/A</v>
      </c>
      <c r="K712" s="51" t="e">
        <f t="shared" si="57"/>
        <v>#N/A</v>
      </c>
      <c r="L712" s="29" t="e">
        <f>NA()</f>
        <v>#N/A</v>
      </c>
      <c r="M712" s="30" t="e">
        <v>#N/A</v>
      </c>
      <c r="N712" s="29" t="e">
        <f>NA()</f>
        <v>#N/A</v>
      </c>
      <c r="O712" s="29" t="e">
        <v>#N/A</v>
      </c>
      <c r="P712" s="51" t="e">
        <f t="shared" si="55"/>
        <v>#N/A</v>
      </c>
      <c r="Q712" s="29" t="e">
        <f>NA()</f>
        <v>#N/A</v>
      </c>
      <c r="R712" s="43" t="e">
        <v>#N/A</v>
      </c>
      <c r="S712" s="32" t="e">
        <f t="shared" si="58"/>
        <v>#N/A</v>
      </c>
      <c r="T712" s="54" t="e">
        <f>VLOOKUP(A712,[1]인포맥스!$A:$I,9,0)</f>
        <v>#N/A</v>
      </c>
      <c r="U712" s="70" t="e">
        <f t="shared" si="59"/>
        <v>#N/A</v>
      </c>
    </row>
    <row r="713" spans="1:21" x14ac:dyDescent="0.25">
      <c r="A713" s="3">
        <v>22736</v>
      </c>
      <c r="B713" s="29" t="e">
        <f>NA()</f>
        <v>#N/A</v>
      </c>
      <c r="C713" s="29" t="e">
        <v>#N/A</v>
      </c>
      <c r="D713" s="50">
        <f>60.6</f>
        <v>60.6</v>
      </c>
      <c r="E713" s="30">
        <v>60.6</v>
      </c>
      <c r="F713" s="29" t="e">
        <f>NA()</f>
        <v>#N/A</v>
      </c>
      <c r="G713" s="31" t="e">
        <v>#N/A</v>
      </c>
      <c r="H713" s="51" t="e">
        <f t="shared" si="56"/>
        <v>#N/A</v>
      </c>
      <c r="I713" s="29" t="e">
        <f>NA()</f>
        <v>#N/A</v>
      </c>
      <c r="J713" s="31" t="e">
        <v>#N/A</v>
      </c>
      <c r="K713" s="51" t="e">
        <f t="shared" si="57"/>
        <v>#N/A</v>
      </c>
      <c r="L713" s="29" t="e">
        <f>NA()</f>
        <v>#N/A</v>
      </c>
      <c r="M713" s="30" t="e">
        <v>#N/A</v>
      </c>
      <c r="N713" s="29" t="e">
        <f>NA()</f>
        <v>#N/A</v>
      </c>
      <c r="O713" s="29" t="e">
        <v>#N/A</v>
      </c>
      <c r="P713" s="51" t="e">
        <f t="shared" si="55"/>
        <v>#N/A</v>
      </c>
      <c r="Q713" s="29" t="e">
        <f>NA()</f>
        <v>#N/A</v>
      </c>
      <c r="R713" s="43" t="e">
        <v>#N/A</v>
      </c>
      <c r="S713" s="32" t="e">
        <f t="shared" si="58"/>
        <v>#N/A</v>
      </c>
      <c r="T713" s="54" t="e">
        <f>VLOOKUP(A713,[1]인포맥스!$A:$I,9,0)</f>
        <v>#N/A</v>
      </c>
      <c r="U713" s="70" t="e">
        <f t="shared" si="59"/>
        <v>#N/A</v>
      </c>
    </row>
    <row r="714" spans="1:21" x14ac:dyDescent="0.25">
      <c r="A714" s="3">
        <v>22705</v>
      </c>
      <c r="B714" s="29" t="e">
        <f>NA()</f>
        <v>#N/A</v>
      </c>
      <c r="C714" s="29" t="e">
        <v>#N/A</v>
      </c>
      <c r="D714" s="50">
        <f>61.1</f>
        <v>61.1</v>
      </c>
      <c r="E714" s="30">
        <v>61.1</v>
      </c>
      <c r="F714" s="29" t="e">
        <f>NA()</f>
        <v>#N/A</v>
      </c>
      <c r="G714" s="31" t="e">
        <v>#N/A</v>
      </c>
      <c r="H714" s="51" t="e">
        <f t="shared" si="56"/>
        <v>#N/A</v>
      </c>
      <c r="I714" s="29" t="e">
        <f>NA()</f>
        <v>#N/A</v>
      </c>
      <c r="J714" s="31" t="e">
        <v>#N/A</v>
      </c>
      <c r="K714" s="51" t="e">
        <f t="shared" si="57"/>
        <v>#N/A</v>
      </c>
      <c r="L714" s="29" t="e">
        <f>NA()</f>
        <v>#N/A</v>
      </c>
      <c r="M714" s="30" t="e">
        <v>#N/A</v>
      </c>
      <c r="N714" s="29" t="e">
        <f>NA()</f>
        <v>#N/A</v>
      </c>
      <c r="O714" s="29" t="e">
        <v>#N/A</v>
      </c>
      <c r="P714" s="51" t="e">
        <f t="shared" si="55"/>
        <v>#N/A</v>
      </c>
      <c r="Q714" s="29" t="e">
        <f>NA()</f>
        <v>#N/A</v>
      </c>
      <c r="R714" s="43" t="e">
        <v>#N/A</v>
      </c>
      <c r="S714" s="32" t="e">
        <f t="shared" si="58"/>
        <v>#N/A</v>
      </c>
      <c r="T714" s="54" t="e">
        <f>VLOOKUP(A714,[1]인포맥스!$A:$I,9,0)</f>
        <v>#N/A</v>
      </c>
      <c r="U714" s="70" t="e">
        <f t="shared" si="59"/>
        <v>#N/A</v>
      </c>
    </row>
    <row r="715" spans="1:21" x14ac:dyDescent="0.25">
      <c r="A715" s="3">
        <v>22677</v>
      </c>
      <c r="B715" s="29" t="e">
        <f>NA()</f>
        <v>#N/A</v>
      </c>
      <c r="C715" s="29" t="e">
        <v>#N/A</v>
      </c>
      <c r="D715" s="50">
        <f>60.9</f>
        <v>60.9</v>
      </c>
      <c r="E715" s="30">
        <v>60.9</v>
      </c>
      <c r="F715" s="29" t="e">
        <f>NA()</f>
        <v>#N/A</v>
      </c>
      <c r="G715" s="31" t="e">
        <v>#N/A</v>
      </c>
      <c r="H715" s="51" t="e">
        <f t="shared" si="56"/>
        <v>#N/A</v>
      </c>
      <c r="I715" s="29" t="e">
        <f>NA()</f>
        <v>#N/A</v>
      </c>
      <c r="J715" s="31" t="e">
        <v>#N/A</v>
      </c>
      <c r="K715" s="51" t="e">
        <f t="shared" si="57"/>
        <v>#N/A</v>
      </c>
      <c r="L715" s="29" t="e">
        <f>NA()</f>
        <v>#N/A</v>
      </c>
      <c r="M715" s="30" t="e">
        <v>#N/A</v>
      </c>
      <c r="N715" s="29" t="e">
        <f>NA()</f>
        <v>#N/A</v>
      </c>
      <c r="O715" s="29" t="e">
        <v>#N/A</v>
      </c>
      <c r="P715" s="51" t="e">
        <f t="shared" si="55"/>
        <v>#N/A</v>
      </c>
      <c r="Q715" s="29" t="e">
        <f>NA()</f>
        <v>#N/A</v>
      </c>
      <c r="R715" s="43" t="e">
        <v>#N/A</v>
      </c>
      <c r="S715" s="32" t="e">
        <f t="shared" si="58"/>
        <v>#N/A</v>
      </c>
      <c r="T715" s="54" t="e">
        <f>VLOOKUP(A715,[1]인포맥스!$A:$I,9,0)</f>
        <v>#N/A</v>
      </c>
      <c r="U715" s="70" t="e">
        <f t="shared" si="59"/>
        <v>#N/A</v>
      </c>
    </row>
    <row r="716" spans="1:21" x14ac:dyDescent="0.25">
      <c r="A716" s="3">
        <v>22646</v>
      </c>
      <c r="B716" s="29" t="e">
        <f>NA()</f>
        <v>#N/A</v>
      </c>
      <c r="C716" s="29" t="e">
        <v>#N/A</v>
      </c>
      <c r="D716" s="50">
        <f>64.2</f>
        <v>64.2</v>
      </c>
      <c r="E716" s="30">
        <v>64.2</v>
      </c>
      <c r="F716" s="29" t="e">
        <f>NA()</f>
        <v>#N/A</v>
      </c>
      <c r="G716" s="31" t="e">
        <v>#N/A</v>
      </c>
      <c r="H716" s="51" t="e">
        <f t="shared" si="56"/>
        <v>#N/A</v>
      </c>
      <c r="I716" s="29" t="e">
        <f>NA()</f>
        <v>#N/A</v>
      </c>
      <c r="J716" s="31" t="e">
        <v>#N/A</v>
      </c>
      <c r="K716" s="51" t="e">
        <f t="shared" si="57"/>
        <v>#N/A</v>
      </c>
      <c r="L716" s="29" t="e">
        <f>NA()</f>
        <v>#N/A</v>
      </c>
      <c r="M716" s="30" t="e">
        <v>#N/A</v>
      </c>
      <c r="N716" s="29" t="e">
        <f>NA()</f>
        <v>#N/A</v>
      </c>
      <c r="O716" s="29" t="e">
        <v>#N/A</v>
      </c>
      <c r="P716" s="51" t="e">
        <f t="shared" si="55"/>
        <v>#N/A</v>
      </c>
      <c r="Q716" s="29" t="e">
        <f>NA()</f>
        <v>#N/A</v>
      </c>
      <c r="R716" s="43" t="e">
        <v>#N/A</v>
      </c>
      <c r="S716" s="32" t="e">
        <f t="shared" si="58"/>
        <v>#N/A</v>
      </c>
      <c r="T716" s="54" t="e">
        <f>VLOOKUP(A716,[1]인포맥스!$A:$I,9,0)</f>
        <v>#N/A</v>
      </c>
      <c r="U716" s="70" t="e">
        <f t="shared" si="59"/>
        <v>#N/A</v>
      </c>
    </row>
    <row r="717" spans="1:21" x14ac:dyDescent="0.25">
      <c r="A717" s="3">
        <v>22615</v>
      </c>
      <c r="B717" s="29" t="e">
        <f>NA()</f>
        <v>#N/A</v>
      </c>
      <c r="C717" s="29" t="e">
        <v>#N/A</v>
      </c>
      <c r="D717" s="50">
        <f>59</f>
        <v>59</v>
      </c>
      <c r="E717" s="30">
        <v>59</v>
      </c>
      <c r="F717" s="29" t="e">
        <f>NA()</f>
        <v>#N/A</v>
      </c>
      <c r="G717" s="31" t="e">
        <v>#N/A</v>
      </c>
      <c r="H717" s="51" t="e">
        <f t="shared" si="56"/>
        <v>#N/A</v>
      </c>
      <c r="I717" s="29" t="e">
        <f>NA()</f>
        <v>#N/A</v>
      </c>
      <c r="J717" s="31" t="e">
        <v>#N/A</v>
      </c>
      <c r="K717" s="51" t="e">
        <f t="shared" si="57"/>
        <v>#N/A</v>
      </c>
      <c r="L717" s="29" t="e">
        <f>NA()</f>
        <v>#N/A</v>
      </c>
      <c r="M717" s="30" t="e">
        <v>#N/A</v>
      </c>
      <c r="N717" s="29" t="e">
        <f>NA()</f>
        <v>#N/A</v>
      </c>
      <c r="O717" s="29" t="e">
        <v>#N/A</v>
      </c>
      <c r="P717" s="51" t="e">
        <f t="shared" si="55"/>
        <v>#N/A</v>
      </c>
      <c r="Q717" s="29" t="e">
        <f>NA()</f>
        <v>#N/A</v>
      </c>
      <c r="R717" s="43" t="e">
        <v>#N/A</v>
      </c>
      <c r="S717" s="32" t="e">
        <f t="shared" si="58"/>
        <v>#N/A</v>
      </c>
      <c r="T717" s="54" t="e">
        <f>VLOOKUP(A717,[1]인포맥스!$A:$I,9,0)</f>
        <v>#N/A</v>
      </c>
      <c r="U717" s="70" t="e">
        <f t="shared" si="59"/>
        <v>#N/A</v>
      </c>
    </row>
    <row r="718" spans="1:21" x14ac:dyDescent="0.25">
      <c r="A718" s="3">
        <v>22585</v>
      </c>
      <c r="B718" s="29" t="e">
        <f>NA()</f>
        <v>#N/A</v>
      </c>
      <c r="C718" s="29" t="e">
        <v>#N/A</v>
      </c>
      <c r="D718" s="50">
        <f>62.2</f>
        <v>62.2</v>
      </c>
      <c r="E718" s="30">
        <v>62.2</v>
      </c>
      <c r="F718" s="29" t="e">
        <f>NA()</f>
        <v>#N/A</v>
      </c>
      <c r="G718" s="31" t="e">
        <v>#N/A</v>
      </c>
      <c r="H718" s="51" t="e">
        <f t="shared" si="56"/>
        <v>#N/A</v>
      </c>
      <c r="I718" s="29" t="e">
        <f>NA()</f>
        <v>#N/A</v>
      </c>
      <c r="J718" s="31" t="e">
        <v>#N/A</v>
      </c>
      <c r="K718" s="51" t="e">
        <f t="shared" si="57"/>
        <v>#N/A</v>
      </c>
      <c r="L718" s="29" t="e">
        <f>NA()</f>
        <v>#N/A</v>
      </c>
      <c r="M718" s="30" t="e">
        <v>#N/A</v>
      </c>
      <c r="N718" s="29" t="e">
        <f>NA()</f>
        <v>#N/A</v>
      </c>
      <c r="O718" s="29" t="e">
        <v>#N/A</v>
      </c>
      <c r="P718" s="51" t="e">
        <f t="shared" si="55"/>
        <v>#N/A</v>
      </c>
      <c r="Q718" s="29" t="e">
        <f>NA()</f>
        <v>#N/A</v>
      </c>
      <c r="R718" s="43" t="e">
        <v>#N/A</v>
      </c>
      <c r="S718" s="32" t="e">
        <f t="shared" si="58"/>
        <v>#N/A</v>
      </c>
      <c r="T718" s="54" t="e">
        <f>VLOOKUP(A718,[1]인포맥스!$A:$I,9,0)</f>
        <v>#N/A</v>
      </c>
      <c r="U718" s="70" t="e">
        <f t="shared" si="59"/>
        <v>#N/A</v>
      </c>
    </row>
    <row r="719" spans="1:21" x14ac:dyDescent="0.25">
      <c r="A719" s="3">
        <v>22554</v>
      </c>
      <c r="B719" s="29" t="e">
        <f>NA()</f>
        <v>#N/A</v>
      </c>
      <c r="C719" s="29" t="e">
        <v>#N/A</v>
      </c>
      <c r="D719" s="50">
        <f>63</f>
        <v>63</v>
      </c>
      <c r="E719" s="30">
        <v>63</v>
      </c>
      <c r="F719" s="29" t="e">
        <f>NA()</f>
        <v>#N/A</v>
      </c>
      <c r="G719" s="31" t="e">
        <v>#N/A</v>
      </c>
      <c r="H719" s="51" t="e">
        <f t="shared" si="56"/>
        <v>#N/A</v>
      </c>
      <c r="I719" s="29" t="e">
        <f>NA()</f>
        <v>#N/A</v>
      </c>
      <c r="J719" s="31" t="e">
        <v>#N/A</v>
      </c>
      <c r="K719" s="51" t="e">
        <f t="shared" si="57"/>
        <v>#N/A</v>
      </c>
      <c r="L719" s="29" t="e">
        <f>NA()</f>
        <v>#N/A</v>
      </c>
      <c r="M719" s="30" t="e">
        <v>#N/A</v>
      </c>
      <c r="N719" s="29" t="e">
        <f>NA()</f>
        <v>#N/A</v>
      </c>
      <c r="O719" s="29" t="e">
        <v>#N/A</v>
      </c>
      <c r="P719" s="51" t="e">
        <f t="shared" si="55"/>
        <v>#N/A</v>
      </c>
      <c r="Q719" s="29" t="e">
        <f>NA()</f>
        <v>#N/A</v>
      </c>
      <c r="R719" s="43" t="e">
        <v>#N/A</v>
      </c>
      <c r="S719" s="32" t="e">
        <f t="shared" si="58"/>
        <v>#N/A</v>
      </c>
      <c r="T719" s="54" t="e">
        <f>VLOOKUP(A719,[1]인포맥스!$A:$I,9,0)</f>
        <v>#N/A</v>
      </c>
      <c r="U719" s="70" t="e">
        <f t="shared" si="59"/>
        <v>#N/A</v>
      </c>
    </row>
    <row r="720" spans="1:21" x14ac:dyDescent="0.25">
      <c r="A720" s="3">
        <v>22524</v>
      </c>
      <c r="B720" s="29" t="e">
        <f>NA()</f>
        <v>#N/A</v>
      </c>
      <c r="C720" s="29" t="e">
        <v>#N/A</v>
      </c>
      <c r="D720" s="50">
        <f>60.7</f>
        <v>60.7</v>
      </c>
      <c r="E720" s="30">
        <v>60.7</v>
      </c>
      <c r="F720" s="29" t="e">
        <f>NA()</f>
        <v>#N/A</v>
      </c>
      <c r="G720" s="31" t="e">
        <v>#N/A</v>
      </c>
      <c r="H720" s="51" t="e">
        <f t="shared" si="56"/>
        <v>#N/A</v>
      </c>
      <c r="I720" s="29" t="e">
        <f>NA()</f>
        <v>#N/A</v>
      </c>
      <c r="J720" s="31" t="e">
        <v>#N/A</v>
      </c>
      <c r="K720" s="51" t="e">
        <f t="shared" si="57"/>
        <v>#N/A</v>
      </c>
      <c r="L720" s="29" t="e">
        <f>NA()</f>
        <v>#N/A</v>
      </c>
      <c r="M720" s="30" t="e">
        <v>#N/A</v>
      </c>
      <c r="N720" s="29" t="e">
        <f>NA()</f>
        <v>#N/A</v>
      </c>
      <c r="O720" s="29" t="e">
        <v>#N/A</v>
      </c>
      <c r="P720" s="51" t="e">
        <f t="shared" si="55"/>
        <v>#N/A</v>
      </c>
      <c r="Q720" s="29" t="e">
        <f>NA()</f>
        <v>#N/A</v>
      </c>
      <c r="R720" s="43" t="e">
        <v>#N/A</v>
      </c>
      <c r="S720" s="32" t="e">
        <f t="shared" si="58"/>
        <v>#N/A</v>
      </c>
      <c r="T720" s="54" t="e">
        <f>VLOOKUP(A720,[1]인포맥스!$A:$I,9,0)</f>
        <v>#N/A</v>
      </c>
      <c r="U720" s="70" t="e">
        <f t="shared" si="59"/>
        <v>#N/A</v>
      </c>
    </row>
    <row r="721" spans="1:21" x14ac:dyDescent="0.25">
      <c r="A721" s="3">
        <v>22493</v>
      </c>
      <c r="B721" s="29" t="e">
        <f>NA()</f>
        <v>#N/A</v>
      </c>
      <c r="C721" s="29" t="e">
        <v>#N/A</v>
      </c>
      <c r="D721" s="50">
        <f>58.2</f>
        <v>58.2</v>
      </c>
      <c r="E721" s="30">
        <v>58.2</v>
      </c>
      <c r="F721" s="29" t="e">
        <f>NA()</f>
        <v>#N/A</v>
      </c>
      <c r="G721" s="31" t="e">
        <v>#N/A</v>
      </c>
      <c r="H721" s="51" t="e">
        <f t="shared" si="56"/>
        <v>#N/A</v>
      </c>
      <c r="I721" s="29" t="e">
        <f>NA()</f>
        <v>#N/A</v>
      </c>
      <c r="J721" s="31" t="e">
        <v>#N/A</v>
      </c>
      <c r="K721" s="51" t="e">
        <f t="shared" si="57"/>
        <v>#N/A</v>
      </c>
      <c r="L721" s="29" t="e">
        <f>NA()</f>
        <v>#N/A</v>
      </c>
      <c r="M721" s="30" t="e">
        <v>#N/A</v>
      </c>
      <c r="N721" s="29" t="e">
        <f>NA()</f>
        <v>#N/A</v>
      </c>
      <c r="O721" s="29" t="e">
        <v>#N/A</v>
      </c>
      <c r="P721" s="51" t="e">
        <f t="shared" si="55"/>
        <v>#N/A</v>
      </c>
      <c r="Q721" s="29" t="e">
        <f>NA()</f>
        <v>#N/A</v>
      </c>
      <c r="R721" s="43" t="e">
        <v>#N/A</v>
      </c>
      <c r="S721" s="32" t="e">
        <f t="shared" si="58"/>
        <v>#N/A</v>
      </c>
      <c r="T721" s="54" t="e">
        <f>VLOOKUP(A721,[1]인포맥스!$A:$I,9,0)</f>
        <v>#N/A</v>
      </c>
      <c r="U721" s="70" t="e">
        <f t="shared" si="59"/>
        <v>#N/A</v>
      </c>
    </row>
    <row r="722" spans="1:21" x14ac:dyDescent="0.25">
      <c r="A722" s="3">
        <v>22462</v>
      </c>
      <c r="B722" s="29" t="e">
        <f>NA()</f>
        <v>#N/A</v>
      </c>
      <c r="C722" s="29" t="e">
        <v>#N/A</v>
      </c>
      <c r="D722" s="50">
        <f>58.1</f>
        <v>58.1</v>
      </c>
      <c r="E722" s="30">
        <v>58.1</v>
      </c>
      <c r="F722" s="29" t="e">
        <f>NA()</f>
        <v>#N/A</v>
      </c>
      <c r="G722" s="31" t="e">
        <v>#N/A</v>
      </c>
      <c r="H722" s="51" t="e">
        <f t="shared" si="56"/>
        <v>#N/A</v>
      </c>
      <c r="I722" s="29" t="e">
        <f>NA()</f>
        <v>#N/A</v>
      </c>
      <c r="J722" s="31" t="e">
        <v>#N/A</v>
      </c>
      <c r="K722" s="51" t="e">
        <f t="shared" si="57"/>
        <v>#N/A</v>
      </c>
      <c r="L722" s="29" t="e">
        <f>NA()</f>
        <v>#N/A</v>
      </c>
      <c r="M722" s="30" t="e">
        <v>#N/A</v>
      </c>
      <c r="N722" s="29" t="e">
        <f>NA()</f>
        <v>#N/A</v>
      </c>
      <c r="O722" s="29" t="e">
        <v>#N/A</v>
      </c>
      <c r="P722" s="51" t="e">
        <f t="shared" si="55"/>
        <v>#N/A</v>
      </c>
      <c r="Q722" s="29" t="e">
        <f>NA()</f>
        <v>#N/A</v>
      </c>
      <c r="R722" s="43" t="e">
        <v>#N/A</v>
      </c>
      <c r="S722" s="32" t="e">
        <f t="shared" si="58"/>
        <v>#N/A</v>
      </c>
      <c r="T722" s="54" t="e">
        <f>VLOOKUP(A722,[1]인포맥스!$A:$I,9,0)</f>
        <v>#N/A</v>
      </c>
      <c r="U722" s="70" t="e">
        <f t="shared" si="59"/>
        <v>#N/A</v>
      </c>
    </row>
    <row r="723" spans="1:21" x14ac:dyDescent="0.25">
      <c r="A723" s="3">
        <v>22432</v>
      </c>
      <c r="B723" s="29" t="e">
        <f>NA()</f>
        <v>#N/A</v>
      </c>
      <c r="C723" s="29" t="e">
        <v>#N/A</v>
      </c>
      <c r="D723" s="50">
        <f>58.9</f>
        <v>58.9</v>
      </c>
      <c r="E723" s="30">
        <v>58.9</v>
      </c>
      <c r="F723" s="29" t="e">
        <f>NA()</f>
        <v>#N/A</v>
      </c>
      <c r="G723" s="31" t="e">
        <v>#N/A</v>
      </c>
      <c r="H723" s="51" t="e">
        <f t="shared" si="56"/>
        <v>#N/A</v>
      </c>
      <c r="I723" s="29" t="e">
        <f>NA()</f>
        <v>#N/A</v>
      </c>
      <c r="J723" s="31" t="e">
        <v>#N/A</v>
      </c>
      <c r="K723" s="51" t="e">
        <f t="shared" si="57"/>
        <v>#N/A</v>
      </c>
      <c r="L723" s="29" t="e">
        <f>NA()</f>
        <v>#N/A</v>
      </c>
      <c r="M723" s="30" t="e">
        <v>#N/A</v>
      </c>
      <c r="N723" s="29" t="e">
        <f>NA()</f>
        <v>#N/A</v>
      </c>
      <c r="O723" s="29" t="e">
        <v>#N/A</v>
      </c>
      <c r="P723" s="51" t="e">
        <f t="shared" si="55"/>
        <v>#N/A</v>
      </c>
      <c r="Q723" s="29" t="e">
        <f>NA()</f>
        <v>#N/A</v>
      </c>
      <c r="R723" s="43" t="e">
        <v>#N/A</v>
      </c>
      <c r="S723" s="32" t="e">
        <f t="shared" si="58"/>
        <v>#N/A</v>
      </c>
      <c r="T723" s="54" t="e">
        <f>VLOOKUP(A723,[1]인포맥스!$A:$I,9,0)</f>
        <v>#N/A</v>
      </c>
      <c r="U723" s="70" t="e">
        <f t="shared" si="59"/>
        <v>#N/A</v>
      </c>
    </row>
    <row r="724" spans="1:21" x14ac:dyDescent="0.25">
      <c r="A724" s="3">
        <v>22401</v>
      </c>
      <c r="B724" s="29" t="e">
        <f>NA()</f>
        <v>#N/A</v>
      </c>
      <c r="C724" s="29" t="e">
        <v>#N/A</v>
      </c>
      <c r="D724" s="50">
        <f>57.6</f>
        <v>57.6</v>
      </c>
      <c r="E724" s="30">
        <v>57.6</v>
      </c>
      <c r="F724" s="29" t="e">
        <f>NA()</f>
        <v>#N/A</v>
      </c>
      <c r="G724" s="31" t="e">
        <v>#N/A</v>
      </c>
      <c r="H724" s="51" t="e">
        <f t="shared" si="56"/>
        <v>#N/A</v>
      </c>
      <c r="I724" s="29" t="e">
        <f>NA()</f>
        <v>#N/A</v>
      </c>
      <c r="J724" s="31" t="e">
        <v>#N/A</v>
      </c>
      <c r="K724" s="51" t="e">
        <f t="shared" si="57"/>
        <v>#N/A</v>
      </c>
      <c r="L724" s="29" t="e">
        <f>NA()</f>
        <v>#N/A</v>
      </c>
      <c r="M724" s="30" t="e">
        <v>#N/A</v>
      </c>
      <c r="N724" s="29" t="e">
        <f>NA()</f>
        <v>#N/A</v>
      </c>
      <c r="O724" s="29" t="e">
        <v>#N/A</v>
      </c>
      <c r="P724" s="51" t="e">
        <f t="shared" si="55"/>
        <v>#N/A</v>
      </c>
      <c r="Q724" s="29" t="e">
        <f>NA()</f>
        <v>#N/A</v>
      </c>
      <c r="R724" s="43" t="e">
        <v>#N/A</v>
      </c>
      <c r="S724" s="32" t="e">
        <f t="shared" si="58"/>
        <v>#N/A</v>
      </c>
      <c r="T724" s="54" t="e">
        <f>VLOOKUP(A724,[1]인포맥스!$A:$I,9,0)</f>
        <v>#N/A</v>
      </c>
      <c r="U724" s="70" t="e">
        <f t="shared" si="59"/>
        <v>#N/A</v>
      </c>
    </row>
    <row r="725" spans="1:21" x14ac:dyDescent="0.25">
      <c r="A725" s="3">
        <v>22371</v>
      </c>
      <c r="B725" s="29" t="e">
        <f>NA()</f>
        <v>#N/A</v>
      </c>
      <c r="C725" s="29" t="e">
        <v>#N/A</v>
      </c>
      <c r="D725" s="50">
        <f>49.1</f>
        <v>49.1</v>
      </c>
      <c r="E725" s="30">
        <v>49.1</v>
      </c>
      <c r="F725" s="29" t="e">
        <f>NA()</f>
        <v>#N/A</v>
      </c>
      <c r="G725" s="31" t="e">
        <v>#N/A</v>
      </c>
      <c r="H725" s="51" t="e">
        <f t="shared" si="56"/>
        <v>#N/A</v>
      </c>
      <c r="I725" s="29" t="e">
        <f>NA()</f>
        <v>#N/A</v>
      </c>
      <c r="J725" s="31" t="e">
        <v>#N/A</v>
      </c>
      <c r="K725" s="51" t="e">
        <f t="shared" si="57"/>
        <v>#N/A</v>
      </c>
      <c r="L725" s="29" t="e">
        <f>NA()</f>
        <v>#N/A</v>
      </c>
      <c r="M725" s="30" t="e">
        <v>#N/A</v>
      </c>
      <c r="N725" s="29" t="e">
        <f>NA()</f>
        <v>#N/A</v>
      </c>
      <c r="O725" s="29" t="e">
        <v>#N/A</v>
      </c>
      <c r="P725" s="51" t="e">
        <f t="shared" si="55"/>
        <v>#N/A</v>
      </c>
      <c r="Q725" s="29" t="e">
        <f>NA()</f>
        <v>#N/A</v>
      </c>
      <c r="R725" s="43" t="e">
        <v>#N/A</v>
      </c>
      <c r="S725" s="32" t="e">
        <f t="shared" si="58"/>
        <v>#N/A</v>
      </c>
      <c r="T725" s="54" t="e">
        <f>VLOOKUP(A725,[1]인포맥스!$A:$I,9,0)</f>
        <v>#N/A</v>
      </c>
      <c r="U725" s="70" t="e">
        <f t="shared" si="59"/>
        <v>#N/A</v>
      </c>
    </row>
    <row r="726" spans="1:21" x14ac:dyDescent="0.25">
      <c r="A726" s="3">
        <v>22340</v>
      </c>
      <c r="B726" s="29" t="e">
        <f>NA()</f>
        <v>#N/A</v>
      </c>
      <c r="C726" s="29" t="e">
        <v>#N/A</v>
      </c>
      <c r="D726" s="50">
        <f>43.6</f>
        <v>43.6</v>
      </c>
      <c r="E726" s="30">
        <v>43.6</v>
      </c>
      <c r="F726" s="29" t="e">
        <f>NA()</f>
        <v>#N/A</v>
      </c>
      <c r="G726" s="31" t="e">
        <v>#N/A</v>
      </c>
      <c r="H726" s="51" t="e">
        <f t="shared" si="56"/>
        <v>#N/A</v>
      </c>
      <c r="I726" s="29" t="e">
        <f>NA()</f>
        <v>#N/A</v>
      </c>
      <c r="J726" s="31" t="e">
        <v>#N/A</v>
      </c>
      <c r="K726" s="51" t="e">
        <f t="shared" si="57"/>
        <v>#N/A</v>
      </c>
      <c r="L726" s="29" t="e">
        <f>NA()</f>
        <v>#N/A</v>
      </c>
      <c r="M726" s="30" t="e">
        <v>#N/A</v>
      </c>
      <c r="N726" s="29" t="e">
        <f>NA()</f>
        <v>#N/A</v>
      </c>
      <c r="O726" s="29" t="e">
        <v>#N/A</v>
      </c>
      <c r="P726" s="51" t="e">
        <f t="shared" si="55"/>
        <v>#N/A</v>
      </c>
      <c r="Q726" s="29" t="e">
        <f>NA()</f>
        <v>#N/A</v>
      </c>
      <c r="R726" s="43" t="e">
        <v>#N/A</v>
      </c>
      <c r="S726" s="32" t="e">
        <f t="shared" si="58"/>
        <v>#N/A</v>
      </c>
      <c r="T726" s="54" t="e">
        <f>VLOOKUP(A726,[1]인포맥스!$A:$I,9,0)</f>
        <v>#N/A</v>
      </c>
      <c r="U726" s="70" t="e">
        <f t="shared" si="59"/>
        <v>#N/A</v>
      </c>
    </row>
    <row r="727" spans="1:21" x14ac:dyDescent="0.25">
      <c r="A727" s="3">
        <v>22312</v>
      </c>
      <c r="B727" s="29" t="e">
        <f>NA()</f>
        <v>#N/A</v>
      </c>
      <c r="C727" s="29" t="e">
        <v>#N/A</v>
      </c>
      <c r="D727" s="50">
        <f>43.9</f>
        <v>43.9</v>
      </c>
      <c r="E727" s="30">
        <v>43.9</v>
      </c>
      <c r="F727" s="29" t="e">
        <f>NA()</f>
        <v>#N/A</v>
      </c>
      <c r="G727" s="31" t="e">
        <v>#N/A</v>
      </c>
      <c r="H727" s="51" t="e">
        <f t="shared" si="56"/>
        <v>#N/A</v>
      </c>
      <c r="I727" s="29" t="e">
        <f>NA()</f>
        <v>#N/A</v>
      </c>
      <c r="J727" s="31" t="e">
        <v>#N/A</v>
      </c>
      <c r="K727" s="51" t="e">
        <f t="shared" si="57"/>
        <v>#N/A</v>
      </c>
      <c r="L727" s="29" t="e">
        <f>NA()</f>
        <v>#N/A</v>
      </c>
      <c r="M727" s="30" t="e">
        <v>#N/A</v>
      </c>
      <c r="N727" s="29" t="e">
        <f>NA()</f>
        <v>#N/A</v>
      </c>
      <c r="O727" s="29" t="e">
        <v>#N/A</v>
      </c>
      <c r="P727" s="51" t="e">
        <f t="shared" si="55"/>
        <v>#N/A</v>
      </c>
      <c r="Q727" s="29" t="e">
        <f>NA()</f>
        <v>#N/A</v>
      </c>
      <c r="R727" s="43" t="e">
        <v>#N/A</v>
      </c>
      <c r="S727" s="32" t="e">
        <f t="shared" si="58"/>
        <v>#N/A</v>
      </c>
      <c r="T727" s="54" t="e">
        <f>VLOOKUP(A727,[1]인포맥스!$A:$I,9,0)</f>
        <v>#N/A</v>
      </c>
      <c r="U727" s="70" t="e">
        <f t="shared" si="59"/>
        <v>#N/A</v>
      </c>
    </row>
    <row r="728" spans="1:21" x14ac:dyDescent="0.25">
      <c r="A728" s="3">
        <v>22281</v>
      </c>
      <c r="B728" s="29" t="e">
        <f>NA()</f>
        <v>#N/A</v>
      </c>
      <c r="C728" s="29" t="e">
        <v>#N/A</v>
      </c>
      <c r="D728" s="50">
        <f>44.3</f>
        <v>44.3</v>
      </c>
      <c r="E728" s="30">
        <v>44.3</v>
      </c>
      <c r="F728" s="29" t="e">
        <f>NA()</f>
        <v>#N/A</v>
      </c>
      <c r="G728" s="31" t="e">
        <v>#N/A</v>
      </c>
      <c r="H728" s="51" t="e">
        <f t="shared" si="56"/>
        <v>#N/A</v>
      </c>
      <c r="I728" s="29" t="e">
        <f>NA()</f>
        <v>#N/A</v>
      </c>
      <c r="J728" s="31" t="e">
        <v>#N/A</v>
      </c>
      <c r="K728" s="51" t="e">
        <f t="shared" si="57"/>
        <v>#N/A</v>
      </c>
      <c r="L728" s="29" t="e">
        <f>NA()</f>
        <v>#N/A</v>
      </c>
      <c r="M728" s="30" t="e">
        <v>#N/A</v>
      </c>
      <c r="N728" s="29" t="e">
        <f>NA()</f>
        <v>#N/A</v>
      </c>
      <c r="O728" s="29" t="e">
        <v>#N/A</v>
      </c>
      <c r="P728" s="51" t="e">
        <f t="shared" si="55"/>
        <v>#N/A</v>
      </c>
      <c r="Q728" s="29" t="e">
        <f>NA()</f>
        <v>#N/A</v>
      </c>
      <c r="R728" s="43" t="e">
        <v>#N/A</v>
      </c>
      <c r="S728" s="32" t="e">
        <f t="shared" si="58"/>
        <v>#N/A</v>
      </c>
      <c r="T728" s="54" t="e">
        <f>VLOOKUP(A728,[1]인포맥스!$A:$I,9,0)</f>
        <v>#N/A</v>
      </c>
      <c r="U728" s="70" t="e">
        <f t="shared" si="59"/>
        <v>#N/A</v>
      </c>
    </row>
    <row r="729" spans="1:21" x14ac:dyDescent="0.25">
      <c r="A729" s="3">
        <v>22250</v>
      </c>
      <c r="B729" s="29" t="e">
        <f>NA()</f>
        <v>#N/A</v>
      </c>
      <c r="C729" s="29" t="e">
        <v>#N/A</v>
      </c>
      <c r="D729" s="50">
        <f>44.3</f>
        <v>44.3</v>
      </c>
      <c r="E729" s="30">
        <v>44.3</v>
      </c>
      <c r="F729" s="29" t="e">
        <f>NA()</f>
        <v>#N/A</v>
      </c>
      <c r="G729" s="31" t="e">
        <v>#N/A</v>
      </c>
      <c r="H729" s="51" t="e">
        <f t="shared" si="56"/>
        <v>#N/A</v>
      </c>
      <c r="I729" s="29" t="e">
        <f>NA()</f>
        <v>#N/A</v>
      </c>
      <c r="J729" s="31" t="e">
        <v>#N/A</v>
      </c>
      <c r="K729" s="51" t="e">
        <f t="shared" si="57"/>
        <v>#N/A</v>
      </c>
      <c r="L729" s="29" t="e">
        <f>NA()</f>
        <v>#N/A</v>
      </c>
      <c r="M729" s="30" t="e">
        <v>#N/A</v>
      </c>
      <c r="N729" s="29" t="e">
        <f>NA()</f>
        <v>#N/A</v>
      </c>
      <c r="O729" s="29" t="e">
        <v>#N/A</v>
      </c>
      <c r="P729" s="51" t="e">
        <f t="shared" si="55"/>
        <v>#N/A</v>
      </c>
      <c r="Q729" s="29" t="e">
        <f>NA()</f>
        <v>#N/A</v>
      </c>
      <c r="R729" s="43" t="e">
        <v>#N/A</v>
      </c>
      <c r="S729" s="32" t="e">
        <f t="shared" si="58"/>
        <v>#N/A</v>
      </c>
      <c r="T729" s="54" t="e">
        <f>VLOOKUP(A729,[1]인포맥스!$A:$I,9,0)</f>
        <v>#N/A</v>
      </c>
      <c r="U729" s="70" t="e">
        <f t="shared" si="59"/>
        <v>#N/A</v>
      </c>
    </row>
    <row r="730" spans="1:21" x14ac:dyDescent="0.25">
      <c r="A730" s="3">
        <v>22220</v>
      </c>
      <c r="B730" s="29" t="e">
        <f>NA()</f>
        <v>#N/A</v>
      </c>
      <c r="C730" s="29" t="e">
        <v>#N/A</v>
      </c>
      <c r="D730" s="50">
        <f>46</f>
        <v>46</v>
      </c>
      <c r="E730" s="30">
        <v>46</v>
      </c>
      <c r="F730" s="29" t="e">
        <f>NA()</f>
        <v>#N/A</v>
      </c>
      <c r="G730" s="31" t="e">
        <v>#N/A</v>
      </c>
      <c r="H730" s="51" t="e">
        <f t="shared" si="56"/>
        <v>#N/A</v>
      </c>
      <c r="I730" s="29" t="e">
        <f>NA()</f>
        <v>#N/A</v>
      </c>
      <c r="J730" s="31" t="e">
        <v>#N/A</v>
      </c>
      <c r="K730" s="51" t="e">
        <f t="shared" si="57"/>
        <v>#N/A</v>
      </c>
      <c r="L730" s="29" t="e">
        <f>NA()</f>
        <v>#N/A</v>
      </c>
      <c r="M730" s="30" t="e">
        <v>#N/A</v>
      </c>
      <c r="N730" s="29" t="e">
        <f>NA()</f>
        <v>#N/A</v>
      </c>
      <c r="O730" s="29" t="e">
        <v>#N/A</v>
      </c>
      <c r="P730" s="51" t="e">
        <f t="shared" si="55"/>
        <v>#N/A</v>
      </c>
      <c r="Q730" s="29" t="e">
        <f>NA()</f>
        <v>#N/A</v>
      </c>
      <c r="R730" s="43" t="e">
        <v>#N/A</v>
      </c>
      <c r="S730" s="32" t="e">
        <f t="shared" si="58"/>
        <v>#N/A</v>
      </c>
      <c r="T730" s="54" t="e">
        <f>VLOOKUP(A730,[1]인포맥스!$A:$I,9,0)</f>
        <v>#N/A</v>
      </c>
      <c r="U730" s="70" t="e">
        <f t="shared" si="59"/>
        <v>#N/A</v>
      </c>
    </row>
    <row r="731" spans="1:21" x14ac:dyDescent="0.25">
      <c r="A731" s="3">
        <v>22189</v>
      </c>
      <c r="B731" s="29" t="e">
        <f>NA()</f>
        <v>#N/A</v>
      </c>
      <c r="C731" s="29" t="e">
        <v>#N/A</v>
      </c>
      <c r="D731" s="50">
        <f>45.4</f>
        <v>45.4</v>
      </c>
      <c r="E731" s="30">
        <v>45.4</v>
      </c>
      <c r="F731" s="29" t="e">
        <f>NA()</f>
        <v>#N/A</v>
      </c>
      <c r="G731" s="31" t="e">
        <v>#N/A</v>
      </c>
      <c r="H731" s="51" t="e">
        <f t="shared" si="56"/>
        <v>#N/A</v>
      </c>
      <c r="I731" s="29" t="e">
        <f>NA()</f>
        <v>#N/A</v>
      </c>
      <c r="J731" s="31" t="e">
        <v>#N/A</v>
      </c>
      <c r="K731" s="51" t="e">
        <f t="shared" si="57"/>
        <v>#N/A</v>
      </c>
      <c r="L731" s="29" t="e">
        <f>NA()</f>
        <v>#N/A</v>
      </c>
      <c r="M731" s="30" t="e">
        <v>#N/A</v>
      </c>
      <c r="N731" s="29" t="e">
        <f>NA()</f>
        <v>#N/A</v>
      </c>
      <c r="O731" s="29" t="e">
        <v>#N/A</v>
      </c>
      <c r="P731" s="51" t="e">
        <f t="shared" si="55"/>
        <v>#N/A</v>
      </c>
      <c r="Q731" s="29" t="e">
        <f>NA()</f>
        <v>#N/A</v>
      </c>
      <c r="R731" s="43" t="e">
        <v>#N/A</v>
      </c>
      <c r="S731" s="32" t="e">
        <f t="shared" si="58"/>
        <v>#N/A</v>
      </c>
      <c r="T731" s="54" t="e">
        <f>VLOOKUP(A731,[1]인포맥스!$A:$I,9,0)</f>
        <v>#N/A</v>
      </c>
      <c r="U731" s="70" t="e">
        <f t="shared" si="59"/>
        <v>#N/A</v>
      </c>
    </row>
    <row r="732" spans="1:21" x14ac:dyDescent="0.25">
      <c r="A732" s="3">
        <v>22159</v>
      </c>
      <c r="B732" s="29" t="e">
        <f>NA()</f>
        <v>#N/A</v>
      </c>
      <c r="C732" s="29" t="e">
        <v>#N/A</v>
      </c>
      <c r="D732" s="50">
        <f>47.6</f>
        <v>47.6</v>
      </c>
      <c r="E732" s="30">
        <v>47.6</v>
      </c>
      <c r="F732" s="29" t="e">
        <f>NA()</f>
        <v>#N/A</v>
      </c>
      <c r="G732" s="31" t="e">
        <v>#N/A</v>
      </c>
      <c r="H732" s="51" t="e">
        <f t="shared" si="56"/>
        <v>#N/A</v>
      </c>
      <c r="I732" s="29" t="e">
        <f>NA()</f>
        <v>#N/A</v>
      </c>
      <c r="J732" s="31" t="e">
        <v>#N/A</v>
      </c>
      <c r="K732" s="51" t="e">
        <f t="shared" si="57"/>
        <v>#N/A</v>
      </c>
      <c r="L732" s="29" t="e">
        <f>NA()</f>
        <v>#N/A</v>
      </c>
      <c r="M732" s="30" t="e">
        <v>#N/A</v>
      </c>
      <c r="N732" s="29" t="e">
        <f>NA()</f>
        <v>#N/A</v>
      </c>
      <c r="O732" s="29" t="e">
        <v>#N/A</v>
      </c>
      <c r="P732" s="51" t="e">
        <f t="shared" si="55"/>
        <v>#N/A</v>
      </c>
      <c r="Q732" s="29" t="e">
        <f>NA()</f>
        <v>#N/A</v>
      </c>
      <c r="R732" s="43" t="e">
        <v>#N/A</v>
      </c>
      <c r="S732" s="32" t="e">
        <f t="shared" si="58"/>
        <v>#N/A</v>
      </c>
      <c r="T732" s="54" t="e">
        <f>VLOOKUP(A732,[1]인포맥스!$A:$I,9,0)</f>
        <v>#N/A</v>
      </c>
      <c r="U732" s="70" t="e">
        <f t="shared" si="59"/>
        <v>#N/A</v>
      </c>
    </row>
    <row r="733" spans="1:21" x14ac:dyDescent="0.25">
      <c r="A733" s="3">
        <v>22128</v>
      </c>
      <c r="B733" s="29" t="e">
        <f>NA()</f>
        <v>#N/A</v>
      </c>
      <c r="C733" s="29" t="e">
        <v>#N/A</v>
      </c>
      <c r="D733" s="50">
        <f>43.7</f>
        <v>43.7</v>
      </c>
      <c r="E733" s="30">
        <v>43.7</v>
      </c>
      <c r="F733" s="29" t="e">
        <f>NA()</f>
        <v>#N/A</v>
      </c>
      <c r="G733" s="31" t="e">
        <v>#N/A</v>
      </c>
      <c r="H733" s="51" t="e">
        <f t="shared" si="56"/>
        <v>#N/A</v>
      </c>
      <c r="I733" s="29" t="e">
        <f>NA()</f>
        <v>#N/A</v>
      </c>
      <c r="J733" s="31" t="e">
        <v>#N/A</v>
      </c>
      <c r="K733" s="51" t="e">
        <f t="shared" si="57"/>
        <v>#N/A</v>
      </c>
      <c r="L733" s="29" t="e">
        <f>NA()</f>
        <v>#N/A</v>
      </c>
      <c r="M733" s="30" t="e">
        <v>#N/A</v>
      </c>
      <c r="N733" s="29" t="e">
        <f>NA()</f>
        <v>#N/A</v>
      </c>
      <c r="O733" s="29" t="e">
        <v>#N/A</v>
      </c>
      <c r="P733" s="51" t="e">
        <f t="shared" si="55"/>
        <v>#N/A</v>
      </c>
      <c r="Q733" s="29" t="e">
        <f>NA()</f>
        <v>#N/A</v>
      </c>
      <c r="R733" s="43" t="e">
        <v>#N/A</v>
      </c>
      <c r="S733" s="32" t="e">
        <f t="shared" si="58"/>
        <v>#N/A</v>
      </c>
      <c r="T733" s="54" t="e">
        <f>VLOOKUP(A733,[1]인포맥스!$A:$I,9,0)</f>
        <v>#N/A</v>
      </c>
      <c r="U733" s="70" t="e">
        <f t="shared" si="59"/>
        <v>#N/A</v>
      </c>
    </row>
    <row r="734" spans="1:21" x14ac:dyDescent="0.25">
      <c r="A734" s="3">
        <v>22097</v>
      </c>
      <c r="B734" s="29" t="e">
        <f>NA()</f>
        <v>#N/A</v>
      </c>
      <c r="C734" s="29" t="e">
        <v>#N/A</v>
      </c>
      <c r="D734" s="50">
        <f>44.4</f>
        <v>44.4</v>
      </c>
      <c r="E734" s="30">
        <v>44.4</v>
      </c>
      <c r="F734" s="29" t="e">
        <f>NA()</f>
        <v>#N/A</v>
      </c>
      <c r="G734" s="31" t="e">
        <v>#N/A</v>
      </c>
      <c r="H734" s="51" t="e">
        <f t="shared" si="56"/>
        <v>#N/A</v>
      </c>
      <c r="I734" s="29" t="e">
        <f>NA()</f>
        <v>#N/A</v>
      </c>
      <c r="J734" s="31" t="e">
        <v>#N/A</v>
      </c>
      <c r="K734" s="51" t="e">
        <f t="shared" si="57"/>
        <v>#N/A</v>
      </c>
      <c r="L734" s="29" t="e">
        <f>NA()</f>
        <v>#N/A</v>
      </c>
      <c r="M734" s="30" t="e">
        <v>#N/A</v>
      </c>
      <c r="N734" s="29" t="e">
        <f>NA()</f>
        <v>#N/A</v>
      </c>
      <c r="O734" s="29" t="e">
        <v>#N/A</v>
      </c>
      <c r="P734" s="51" t="e">
        <f t="shared" si="55"/>
        <v>#N/A</v>
      </c>
      <c r="Q734" s="29" t="e">
        <f>NA()</f>
        <v>#N/A</v>
      </c>
      <c r="R734" s="43" t="e">
        <v>#N/A</v>
      </c>
      <c r="S734" s="32" t="e">
        <f t="shared" si="58"/>
        <v>#N/A</v>
      </c>
      <c r="T734" s="54" t="e">
        <f>VLOOKUP(A734,[1]인포맥스!$A:$I,9,0)</f>
        <v>#N/A</v>
      </c>
      <c r="U734" s="70" t="e">
        <f t="shared" si="59"/>
        <v>#N/A</v>
      </c>
    </row>
    <row r="735" spans="1:21" x14ac:dyDescent="0.25">
      <c r="A735" s="3">
        <v>22067</v>
      </c>
      <c r="B735" s="29" t="e">
        <f>NA()</f>
        <v>#N/A</v>
      </c>
      <c r="C735" s="29" t="e">
        <v>#N/A</v>
      </c>
      <c r="D735" s="50">
        <f>42.6</f>
        <v>42.6</v>
      </c>
      <c r="E735" s="30">
        <v>42.6</v>
      </c>
      <c r="F735" s="29" t="e">
        <f>NA()</f>
        <v>#N/A</v>
      </c>
      <c r="G735" s="31" t="e">
        <v>#N/A</v>
      </c>
      <c r="H735" s="51" t="e">
        <f t="shared" si="56"/>
        <v>#N/A</v>
      </c>
      <c r="I735" s="29" t="e">
        <f>NA()</f>
        <v>#N/A</v>
      </c>
      <c r="J735" s="31" t="e">
        <v>#N/A</v>
      </c>
      <c r="K735" s="51" t="e">
        <f t="shared" si="57"/>
        <v>#N/A</v>
      </c>
      <c r="L735" s="29" t="e">
        <f>NA()</f>
        <v>#N/A</v>
      </c>
      <c r="M735" s="30" t="e">
        <v>#N/A</v>
      </c>
      <c r="N735" s="29" t="e">
        <f>NA()</f>
        <v>#N/A</v>
      </c>
      <c r="O735" s="29" t="e">
        <v>#N/A</v>
      </c>
      <c r="P735" s="51" t="e">
        <f t="shared" si="55"/>
        <v>#N/A</v>
      </c>
      <c r="Q735" s="29" t="e">
        <f>NA()</f>
        <v>#N/A</v>
      </c>
      <c r="R735" s="43" t="e">
        <v>#N/A</v>
      </c>
      <c r="S735" s="32" t="e">
        <f t="shared" si="58"/>
        <v>#N/A</v>
      </c>
      <c r="T735" s="54" t="e">
        <f>VLOOKUP(A735,[1]인포맥스!$A:$I,9,0)</f>
        <v>#N/A</v>
      </c>
      <c r="U735" s="70" t="e">
        <f t="shared" si="59"/>
        <v>#N/A</v>
      </c>
    </row>
    <row r="736" spans="1:21" x14ac:dyDescent="0.25">
      <c r="A736" s="3">
        <v>22036</v>
      </c>
      <c r="B736" s="29" t="e">
        <f>NA()</f>
        <v>#N/A</v>
      </c>
      <c r="C736" s="29" t="e">
        <v>#N/A</v>
      </c>
      <c r="D736" s="50">
        <f>45.3</f>
        <v>45.3</v>
      </c>
      <c r="E736" s="30">
        <v>45.3</v>
      </c>
      <c r="F736" s="29" t="e">
        <f>NA()</f>
        <v>#N/A</v>
      </c>
      <c r="G736" s="31" t="e">
        <v>#N/A</v>
      </c>
      <c r="H736" s="51" t="e">
        <f t="shared" si="56"/>
        <v>#N/A</v>
      </c>
      <c r="I736" s="29" t="e">
        <f>NA()</f>
        <v>#N/A</v>
      </c>
      <c r="J736" s="31" t="e">
        <v>#N/A</v>
      </c>
      <c r="K736" s="51" t="e">
        <f t="shared" si="57"/>
        <v>#N/A</v>
      </c>
      <c r="L736" s="29" t="e">
        <f>NA()</f>
        <v>#N/A</v>
      </c>
      <c r="M736" s="30" t="e">
        <v>#N/A</v>
      </c>
      <c r="N736" s="29" t="e">
        <f>NA()</f>
        <v>#N/A</v>
      </c>
      <c r="O736" s="29" t="e">
        <v>#N/A</v>
      </c>
      <c r="P736" s="51" t="e">
        <f t="shared" si="55"/>
        <v>#N/A</v>
      </c>
      <c r="Q736" s="29" t="e">
        <f>NA()</f>
        <v>#N/A</v>
      </c>
      <c r="R736" s="43" t="e">
        <v>#N/A</v>
      </c>
      <c r="S736" s="32" t="e">
        <f t="shared" si="58"/>
        <v>#N/A</v>
      </c>
      <c r="T736" s="54" t="e">
        <f>VLOOKUP(A736,[1]인포맥스!$A:$I,9,0)</f>
        <v>#N/A</v>
      </c>
      <c r="U736" s="70" t="e">
        <f t="shared" si="59"/>
        <v>#N/A</v>
      </c>
    </row>
    <row r="737" spans="1:21" x14ac:dyDescent="0.25">
      <c r="A737" s="3">
        <v>22006</v>
      </c>
      <c r="B737" s="29" t="e">
        <f>NA()</f>
        <v>#N/A</v>
      </c>
      <c r="C737" s="29" t="e">
        <v>#N/A</v>
      </c>
      <c r="D737" s="50">
        <f>47.8</f>
        <v>47.8</v>
      </c>
      <c r="E737" s="30">
        <v>47.8</v>
      </c>
      <c r="F737" s="29" t="e">
        <f>NA()</f>
        <v>#N/A</v>
      </c>
      <c r="G737" s="31" t="e">
        <v>#N/A</v>
      </c>
      <c r="H737" s="51" t="e">
        <f t="shared" si="56"/>
        <v>#N/A</v>
      </c>
      <c r="I737" s="29" t="e">
        <f>NA()</f>
        <v>#N/A</v>
      </c>
      <c r="J737" s="31" t="e">
        <v>#N/A</v>
      </c>
      <c r="K737" s="51" t="e">
        <f t="shared" si="57"/>
        <v>#N/A</v>
      </c>
      <c r="L737" s="29" t="e">
        <f>NA()</f>
        <v>#N/A</v>
      </c>
      <c r="M737" s="30" t="e">
        <v>#N/A</v>
      </c>
      <c r="N737" s="29" t="e">
        <f>NA()</f>
        <v>#N/A</v>
      </c>
      <c r="O737" s="29" t="e">
        <v>#N/A</v>
      </c>
      <c r="P737" s="51" t="e">
        <f t="shared" si="55"/>
        <v>#N/A</v>
      </c>
      <c r="Q737" s="29" t="e">
        <f>NA()</f>
        <v>#N/A</v>
      </c>
      <c r="R737" s="43" t="e">
        <v>#N/A</v>
      </c>
      <c r="S737" s="32" t="e">
        <f t="shared" si="58"/>
        <v>#N/A</v>
      </c>
      <c r="T737" s="54" t="e">
        <f>VLOOKUP(A737,[1]인포맥스!$A:$I,9,0)</f>
        <v>#N/A</v>
      </c>
      <c r="U737" s="70" t="e">
        <f t="shared" si="59"/>
        <v>#N/A</v>
      </c>
    </row>
    <row r="738" spans="1:21" x14ac:dyDescent="0.25">
      <c r="A738" s="3">
        <v>21975</v>
      </c>
      <c r="B738" s="29" t="e">
        <f>NA()</f>
        <v>#N/A</v>
      </c>
      <c r="C738" s="29" t="e">
        <v>#N/A</v>
      </c>
      <c r="D738" s="50">
        <f>52.3</f>
        <v>52.3</v>
      </c>
      <c r="E738" s="30">
        <v>52.3</v>
      </c>
      <c r="F738" s="29" t="e">
        <f>NA()</f>
        <v>#N/A</v>
      </c>
      <c r="G738" s="31" t="e">
        <v>#N/A</v>
      </c>
      <c r="H738" s="51" t="e">
        <f t="shared" si="56"/>
        <v>#N/A</v>
      </c>
      <c r="I738" s="29" t="e">
        <f>NA()</f>
        <v>#N/A</v>
      </c>
      <c r="J738" s="31" t="e">
        <v>#N/A</v>
      </c>
      <c r="K738" s="51" t="e">
        <f t="shared" si="57"/>
        <v>#N/A</v>
      </c>
      <c r="L738" s="29" t="e">
        <f>NA()</f>
        <v>#N/A</v>
      </c>
      <c r="M738" s="30" t="e">
        <v>#N/A</v>
      </c>
      <c r="N738" s="29" t="e">
        <f>NA()</f>
        <v>#N/A</v>
      </c>
      <c r="O738" s="29" t="e">
        <v>#N/A</v>
      </c>
      <c r="P738" s="51" t="e">
        <f t="shared" si="55"/>
        <v>#N/A</v>
      </c>
      <c r="Q738" s="29" t="e">
        <f>NA()</f>
        <v>#N/A</v>
      </c>
      <c r="R738" s="43" t="e">
        <v>#N/A</v>
      </c>
      <c r="S738" s="32" t="e">
        <f t="shared" si="58"/>
        <v>#N/A</v>
      </c>
      <c r="T738" s="54" t="e">
        <f>VLOOKUP(A738,[1]인포맥스!$A:$I,9,0)</f>
        <v>#N/A</v>
      </c>
      <c r="U738" s="70" t="e">
        <f t="shared" si="59"/>
        <v>#N/A</v>
      </c>
    </row>
    <row r="739" spans="1:21" x14ac:dyDescent="0.25">
      <c r="A739" s="3">
        <v>21946</v>
      </c>
      <c r="B739" s="29" t="e">
        <f>NA()</f>
        <v>#N/A</v>
      </c>
      <c r="C739" s="29" t="e">
        <v>#N/A</v>
      </c>
      <c r="D739" s="50">
        <f>61.5</f>
        <v>61.5</v>
      </c>
      <c r="E739" s="30">
        <v>61.5</v>
      </c>
      <c r="F739" s="29" t="e">
        <f>NA()</f>
        <v>#N/A</v>
      </c>
      <c r="G739" s="31" t="e">
        <v>#N/A</v>
      </c>
      <c r="H739" s="51" t="e">
        <f t="shared" si="56"/>
        <v>#N/A</v>
      </c>
      <c r="I739" s="29" t="e">
        <f>NA()</f>
        <v>#N/A</v>
      </c>
      <c r="J739" s="31" t="e">
        <v>#N/A</v>
      </c>
      <c r="K739" s="51" t="e">
        <f t="shared" si="57"/>
        <v>#N/A</v>
      </c>
      <c r="L739" s="29" t="e">
        <f>NA()</f>
        <v>#N/A</v>
      </c>
      <c r="M739" s="30" t="e">
        <v>#N/A</v>
      </c>
      <c r="N739" s="29" t="e">
        <f>NA()</f>
        <v>#N/A</v>
      </c>
      <c r="O739" s="29" t="e">
        <v>#N/A</v>
      </c>
      <c r="P739" s="51" t="e">
        <f t="shared" si="55"/>
        <v>#N/A</v>
      </c>
      <c r="Q739" s="29" t="e">
        <f>NA()</f>
        <v>#N/A</v>
      </c>
      <c r="R739" s="43" t="e">
        <v>#N/A</v>
      </c>
      <c r="S739" s="32" t="e">
        <f t="shared" si="58"/>
        <v>#N/A</v>
      </c>
      <c r="T739" s="54" t="e">
        <f>VLOOKUP(A739,[1]인포맥스!$A:$I,9,0)</f>
        <v>#N/A</v>
      </c>
      <c r="U739" s="70" t="e">
        <f t="shared" si="59"/>
        <v>#N/A</v>
      </c>
    </row>
    <row r="740" spans="1:21" x14ac:dyDescent="0.25">
      <c r="A740" s="3">
        <v>21915</v>
      </c>
      <c r="B740" s="29" t="e">
        <f>NA()</f>
        <v>#N/A</v>
      </c>
      <c r="C740" s="29" t="e">
        <v>#N/A</v>
      </c>
      <c r="D740" s="50">
        <f>58.2</f>
        <v>58.2</v>
      </c>
      <c r="E740" s="30">
        <v>58.2</v>
      </c>
      <c r="F740" s="29" t="e">
        <f>NA()</f>
        <v>#N/A</v>
      </c>
      <c r="G740" s="31" t="e">
        <v>#N/A</v>
      </c>
      <c r="H740" s="51" t="e">
        <f t="shared" si="56"/>
        <v>#N/A</v>
      </c>
      <c r="I740" s="29" t="e">
        <f>NA()</f>
        <v>#N/A</v>
      </c>
      <c r="J740" s="31" t="e">
        <v>#N/A</v>
      </c>
      <c r="K740" s="51" t="e">
        <f t="shared" si="57"/>
        <v>#N/A</v>
      </c>
      <c r="L740" s="29" t="e">
        <f>NA()</f>
        <v>#N/A</v>
      </c>
      <c r="M740" s="30" t="e">
        <v>#N/A</v>
      </c>
      <c r="N740" s="29" t="e">
        <f>NA()</f>
        <v>#N/A</v>
      </c>
      <c r="O740" s="29" t="e">
        <v>#N/A</v>
      </c>
      <c r="P740" s="51" t="e">
        <f t="shared" si="55"/>
        <v>#N/A</v>
      </c>
      <c r="Q740" s="29" t="e">
        <f>NA()</f>
        <v>#N/A</v>
      </c>
      <c r="R740" s="43" t="e">
        <v>#N/A</v>
      </c>
      <c r="S740" s="32" t="e">
        <f t="shared" si="58"/>
        <v>#N/A</v>
      </c>
      <c r="T740" s="54" t="e">
        <f>VLOOKUP(A740,[1]인포맥스!$A:$I,9,0)</f>
        <v>#N/A</v>
      </c>
      <c r="U740" s="70" t="e">
        <f t="shared" si="59"/>
        <v>#N/A</v>
      </c>
    </row>
    <row r="741" spans="1:21" x14ac:dyDescent="0.25">
      <c r="A741" s="3">
        <v>21884</v>
      </c>
      <c r="B741" s="29" t="e">
        <f>NA()</f>
        <v>#N/A</v>
      </c>
      <c r="C741" s="29" t="e">
        <v>#N/A</v>
      </c>
      <c r="D741" s="50">
        <f>50.6</f>
        <v>50.6</v>
      </c>
      <c r="E741" s="30">
        <v>50.6</v>
      </c>
      <c r="F741" s="29" t="e">
        <f>NA()</f>
        <v>#N/A</v>
      </c>
      <c r="G741" s="31" t="e">
        <v>#N/A</v>
      </c>
      <c r="H741" s="51" t="e">
        <f t="shared" si="56"/>
        <v>#N/A</v>
      </c>
      <c r="I741" s="29" t="e">
        <f>NA()</f>
        <v>#N/A</v>
      </c>
      <c r="J741" s="31" t="e">
        <v>#N/A</v>
      </c>
      <c r="K741" s="51" t="e">
        <f t="shared" si="57"/>
        <v>#N/A</v>
      </c>
      <c r="L741" s="29" t="e">
        <f>NA()</f>
        <v>#N/A</v>
      </c>
      <c r="M741" s="30" t="e">
        <v>#N/A</v>
      </c>
      <c r="N741" s="29" t="e">
        <f>NA()</f>
        <v>#N/A</v>
      </c>
      <c r="O741" s="29" t="e">
        <v>#N/A</v>
      </c>
      <c r="P741" s="51" t="e">
        <f t="shared" si="55"/>
        <v>#N/A</v>
      </c>
      <c r="Q741" s="29" t="e">
        <f>NA()</f>
        <v>#N/A</v>
      </c>
      <c r="R741" s="43" t="e">
        <v>#N/A</v>
      </c>
      <c r="S741" s="32" t="e">
        <f t="shared" si="58"/>
        <v>#N/A</v>
      </c>
      <c r="T741" s="54" t="e">
        <f>VLOOKUP(A741,[1]인포맥스!$A:$I,9,0)</f>
        <v>#N/A</v>
      </c>
      <c r="U741" s="70" t="e">
        <f t="shared" si="59"/>
        <v>#N/A</v>
      </c>
    </row>
    <row r="742" spans="1:21" x14ac:dyDescent="0.25">
      <c r="A742" s="3">
        <v>21854</v>
      </c>
      <c r="B742" s="29" t="e">
        <f>NA()</f>
        <v>#N/A</v>
      </c>
      <c r="C742" s="29" t="e">
        <v>#N/A</v>
      </c>
      <c r="D742" s="50">
        <f>49.7</f>
        <v>49.7</v>
      </c>
      <c r="E742" s="30">
        <v>49.7</v>
      </c>
      <c r="F742" s="29" t="e">
        <f>NA()</f>
        <v>#N/A</v>
      </c>
      <c r="G742" s="31" t="e">
        <v>#N/A</v>
      </c>
      <c r="H742" s="51" t="e">
        <f t="shared" si="56"/>
        <v>#N/A</v>
      </c>
      <c r="I742" s="29" t="e">
        <f>NA()</f>
        <v>#N/A</v>
      </c>
      <c r="J742" s="31" t="e">
        <v>#N/A</v>
      </c>
      <c r="K742" s="51" t="e">
        <f t="shared" si="57"/>
        <v>#N/A</v>
      </c>
      <c r="L742" s="29" t="e">
        <f>NA()</f>
        <v>#N/A</v>
      </c>
      <c r="M742" s="30" t="e">
        <v>#N/A</v>
      </c>
      <c r="N742" s="29" t="e">
        <f>NA()</f>
        <v>#N/A</v>
      </c>
      <c r="O742" s="29" t="e">
        <v>#N/A</v>
      </c>
      <c r="P742" s="51" t="e">
        <f t="shared" si="55"/>
        <v>#N/A</v>
      </c>
      <c r="Q742" s="29" t="e">
        <f>NA()</f>
        <v>#N/A</v>
      </c>
      <c r="R742" s="43" t="e">
        <v>#N/A</v>
      </c>
      <c r="S742" s="32" t="e">
        <f t="shared" si="58"/>
        <v>#N/A</v>
      </c>
      <c r="T742" s="54" t="e">
        <f>VLOOKUP(A742,[1]인포맥스!$A:$I,9,0)</f>
        <v>#N/A</v>
      </c>
      <c r="U742" s="70" t="e">
        <f t="shared" si="59"/>
        <v>#N/A</v>
      </c>
    </row>
    <row r="743" spans="1:21" x14ac:dyDescent="0.25">
      <c r="A743" s="3">
        <v>21823</v>
      </c>
      <c r="B743" s="29" t="e">
        <f>NA()</f>
        <v>#N/A</v>
      </c>
      <c r="C743" s="29" t="e">
        <v>#N/A</v>
      </c>
      <c r="D743" s="50">
        <f>48.3</f>
        <v>48.3</v>
      </c>
      <c r="E743" s="30">
        <v>48.3</v>
      </c>
      <c r="F743" s="29" t="e">
        <f>NA()</f>
        <v>#N/A</v>
      </c>
      <c r="G743" s="31" t="e">
        <v>#N/A</v>
      </c>
      <c r="H743" s="51" t="e">
        <f t="shared" si="56"/>
        <v>#N/A</v>
      </c>
      <c r="I743" s="29" t="e">
        <f>NA()</f>
        <v>#N/A</v>
      </c>
      <c r="J743" s="31" t="e">
        <v>#N/A</v>
      </c>
      <c r="K743" s="51" t="e">
        <f t="shared" si="57"/>
        <v>#N/A</v>
      </c>
      <c r="L743" s="29" t="e">
        <f>NA()</f>
        <v>#N/A</v>
      </c>
      <c r="M743" s="30" t="e">
        <v>#N/A</v>
      </c>
      <c r="N743" s="29" t="e">
        <f>NA()</f>
        <v>#N/A</v>
      </c>
      <c r="O743" s="29" t="e">
        <v>#N/A</v>
      </c>
      <c r="P743" s="51" t="e">
        <f t="shared" si="55"/>
        <v>#N/A</v>
      </c>
      <c r="Q743" s="29" t="e">
        <f>NA()</f>
        <v>#N/A</v>
      </c>
      <c r="R743" s="43" t="e">
        <v>#N/A</v>
      </c>
      <c r="S743" s="32" t="e">
        <f t="shared" si="58"/>
        <v>#N/A</v>
      </c>
      <c r="T743" s="54" t="e">
        <f>VLOOKUP(A743,[1]인포맥스!$A:$I,9,0)</f>
        <v>#N/A</v>
      </c>
      <c r="U743" s="70" t="e">
        <f t="shared" si="59"/>
        <v>#N/A</v>
      </c>
    </row>
    <row r="744" spans="1:21" x14ac:dyDescent="0.25">
      <c r="A744" s="3">
        <v>21793</v>
      </c>
      <c r="B744" s="29" t="e">
        <f>NA()</f>
        <v>#N/A</v>
      </c>
      <c r="C744" s="29" t="e">
        <v>#N/A</v>
      </c>
      <c r="D744" s="50">
        <f>55.1</f>
        <v>55.1</v>
      </c>
      <c r="E744" s="30">
        <v>55.1</v>
      </c>
      <c r="F744" s="29" t="e">
        <f>NA()</f>
        <v>#N/A</v>
      </c>
      <c r="G744" s="31" t="e">
        <v>#N/A</v>
      </c>
      <c r="H744" s="51" t="e">
        <f t="shared" si="56"/>
        <v>#N/A</v>
      </c>
      <c r="I744" s="29" t="e">
        <f>NA()</f>
        <v>#N/A</v>
      </c>
      <c r="J744" s="31" t="e">
        <v>#N/A</v>
      </c>
      <c r="K744" s="51" t="e">
        <f t="shared" si="57"/>
        <v>#N/A</v>
      </c>
      <c r="L744" s="29" t="e">
        <f>NA()</f>
        <v>#N/A</v>
      </c>
      <c r="M744" s="30" t="e">
        <v>#N/A</v>
      </c>
      <c r="N744" s="29" t="e">
        <f>NA()</f>
        <v>#N/A</v>
      </c>
      <c r="O744" s="29" t="e">
        <v>#N/A</v>
      </c>
      <c r="P744" s="51" t="e">
        <f t="shared" si="55"/>
        <v>#N/A</v>
      </c>
      <c r="Q744" s="29" t="e">
        <f>NA()</f>
        <v>#N/A</v>
      </c>
      <c r="R744" s="43" t="e">
        <v>#N/A</v>
      </c>
      <c r="S744" s="32" t="e">
        <f t="shared" si="58"/>
        <v>#N/A</v>
      </c>
      <c r="T744" s="54" t="e">
        <f>VLOOKUP(A744,[1]인포맥스!$A:$I,9,0)</f>
        <v>#N/A</v>
      </c>
      <c r="U744" s="70" t="e">
        <f t="shared" si="59"/>
        <v>#N/A</v>
      </c>
    </row>
    <row r="745" spans="1:21" x14ac:dyDescent="0.25">
      <c r="A745" s="3">
        <v>21762</v>
      </c>
      <c r="B745" s="29" t="e">
        <f>NA()</f>
        <v>#N/A</v>
      </c>
      <c r="C745" s="29" t="e">
        <v>#N/A</v>
      </c>
      <c r="D745" s="50">
        <f>61.5</f>
        <v>61.5</v>
      </c>
      <c r="E745" s="30">
        <v>61.5</v>
      </c>
      <c r="F745" s="29" t="e">
        <f>NA()</f>
        <v>#N/A</v>
      </c>
      <c r="G745" s="31" t="e">
        <v>#N/A</v>
      </c>
      <c r="H745" s="51" t="e">
        <f t="shared" si="56"/>
        <v>#N/A</v>
      </c>
      <c r="I745" s="29" t="e">
        <f>NA()</f>
        <v>#N/A</v>
      </c>
      <c r="J745" s="31" t="e">
        <v>#N/A</v>
      </c>
      <c r="K745" s="51" t="e">
        <f t="shared" si="57"/>
        <v>#N/A</v>
      </c>
      <c r="L745" s="29" t="e">
        <f>NA()</f>
        <v>#N/A</v>
      </c>
      <c r="M745" s="30" t="e">
        <v>#N/A</v>
      </c>
      <c r="N745" s="29" t="e">
        <f>NA()</f>
        <v>#N/A</v>
      </c>
      <c r="O745" s="29" t="e">
        <v>#N/A</v>
      </c>
      <c r="P745" s="51" t="e">
        <f t="shared" si="55"/>
        <v>#N/A</v>
      </c>
      <c r="Q745" s="29" t="e">
        <f>NA()</f>
        <v>#N/A</v>
      </c>
      <c r="R745" s="43" t="e">
        <v>#N/A</v>
      </c>
      <c r="S745" s="32" t="e">
        <f t="shared" si="58"/>
        <v>#N/A</v>
      </c>
      <c r="T745" s="54" t="e">
        <f>VLOOKUP(A745,[1]인포맥스!$A:$I,9,0)</f>
        <v>#N/A</v>
      </c>
      <c r="U745" s="70" t="e">
        <f t="shared" si="59"/>
        <v>#N/A</v>
      </c>
    </row>
    <row r="746" spans="1:21" x14ac:dyDescent="0.25">
      <c r="A746" s="3">
        <v>21731</v>
      </c>
      <c r="B746" s="29" t="e">
        <f>NA()</f>
        <v>#N/A</v>
      </c>
      <c r="C746" s="29" t="e">
        <v>#N/A</v>
      </c>
      <c r="D746" s="50">
        <f>64.4</f>
        <v>64.400000000000006</v>
      </c>
      <c r="E746" s="30">
        <v>64.400000000000006</v>
      </c>
      <c r="F746" s="29" t="e">
        <f>NA()</f>
        <v>#N/A</v>
      </c>
      <c r="G746" s="31" t="e">
        <v>#N/A</v>
      </c>
      <c r="H746" s="51" t="e">
        <f t="shared" si="56"/>
        <v>#N/A</v>
      </c>
      <c r="I746" s="29" t="e">
        <f>NA()</f>
        <v>#N/A</v>
      </c>
      <c r="J746" s="31" t="e">
        <v>#N/A</v>
      </c>
      <c r="K746" s="51" t="e">
        <f t="shared" si="57"/>
        <v>#N/A</v>
      </c>
      <c r="L746" s="29" t="e">
        <f>NA()</f>
        <v>#N/A</v>
      </c>
      <c r="M746" s="30" t="e">
        <v>#N/A</v>
      </c>
      <c r="N746" s="29" t="e">
        <f>NA()</f>
        <v>#N/A</v>
      </c>
      <c r="O746" s="29" t="e">
        <v>#N/A</v>
      </c>
      <c r="P746" s="51" t="e">
        <f t="shared" si="55"/>
        <v>#N/A</v>
      </c>
      <c r="Q746" s="29" t="e">
        <f>NA()</f>
        <v>#N/A</v>
      </c>
      <c r="R746" s="43" t="e">
        <v>#N/A</v>
      </c>
      <c r="S746" s="32" t="e">
        <f t="shared" si="58"/>
        <v>#N/A</v>
      </c>
      <c r="T746" s="54" t="e">
        <f>VLOOKUP(A746,[1]인포맥스!$A:$I,9,0)</f>
        <v>#N/A</v>
      </c>
      <c r="U746" s="70" t="e">
        <f t="shared" si="59"/>
        <v>#N/A</v>
      </c>
    </row>
    <row r="747" spans="1:21" x14ac:dyDescent="0.25">
      <c r="A747" s="3">
        <v>21701</v>
      </c>
      <c r="B747" s="29" t="e">
        <f>NA()</f>
        <v>#N/A</v>
      </c>
      <c r="C747" s="29" t="e">
        <v>#N/A</v>
      </c>
      <c r="D747" s="50">
        <f>68.2</f>
        <v>68.2</v>
      </c>
      <c r="E747" s="30">
        <v>68.2</v>
      </c>
      <c r="F747" s="29" t="e">
        <f>NA()</f>
        <v>#N/A</v>
      </c>
      <c r="G747" s="31" t="e">
        <v>#N/A</v>
      </c>
      <c r="H747" s="51" t="e">
        <f t="shared" si="56"/>
        <v>#N/A</v>
      </c>
      <c r="I747" s="29" t="e">
        <f>NA()</f>
        <v>#N/A</v>
      </c>
      <c r="J747" s="31" t="e">
        <v>#N/A</v>
      </c>
      <c r="K747" s="51" t="e">
        <f t="shared" si="57"/>
        <v>#N/A</v>
      </c>
      <c r="L747" s="29" t="e">
        <f>NA()</f>
        <v>#N/A</v>
      </c>
      <c r="M747" s="30" t="e">
        <v>#N/A</v>
      </c>
      <c r="N747" s="29" t="e">
        <f>NA()</f>
        <v>#N/A</v>
      </c>
      <c r="O747" s="29" t="e">
        <v>#N/A</v>
      </c>
      <c r="P747" s="51" t="e">
        <f t="shared" si="55"/>
        <v>#N/A</v>
      </c>
      <c r="Q747" s="29" t="e">
        <f>NA()</f>
        <v>#N/A</v>
      </c>
      <c r="R747" s="43" t="e">
        <v>#N/A</v>
      </c>
      <c r="S747" s="32" t="e">
        <f t="shared" si="58"/>
        <v>#N/A</v>
      </c>
      <c r="T747" s="54" t="e">
        <f>VLOOKUP(A747,[1]인포맥스!$A:$I,9,0)</f>
        <v>#N/A</v>
      </c>
      <c r="U747" s="70" t="e">
        <f t="shared" si="59"/>
        <v>#N/A</v>
      </c>
    </row>
    <row r="748" spans="1:21" x14ac:dyDescent="0.25">
      <c r="A748" s="3">
        <v>21670</v>
      </c>
      <c r="B748" s="29" t="e">
        <f>NA()</f>
        <v>#N/A</v>
      </c>
      <c r="C748" s="29" t="e">
        <v>#N/A</v>
      </c>
      <c r="D748" s="50">
        <f>66.9</f>
        <v>66.900000000000006</v>
      </c>
      <c r="E748" s="30">
        <v>66.900000000000006</v>
      </c>
      <c r="F748" s="29" t="e">
        <f>NA()</f>
        <v>#N/A</v>
      </c>
      <c r="G748" s="31" t="e">
        <v>#N/A</v>
      </c>
      <c r="H748" s="51" t="e">
        <f t="shared" si="56"/>
        <v>#N/A</v>
      </c>
      <c r="I748" s="29" t="e">
        <f>NA()</f>
        <v>#N/A</v>
      </c>
      <c r="J748" s="31" t="e">
        <v>#N/A</v>
      </c>
      <c r="K748" s="51" t="e">
        <f t="shared" si="57"/>
        <v>#N/A</v>
      </c>
      <c r="L748" s="29" t="e">
        <f>NA()</f>
        <v>#N/A</v>
      </c>
      <c r="M748" s="30" t="e">
        <v>#N/A</v>
      </c>
      <c r="N748" s="29" t="e">
        <f>NA()</f>
        <v>#N/A</v>
      </c>
      <c r="O748" s="29" t="e">
        <v>#N/A</v>
      </c>
      <c r="P748" s="51" t="e">
        <f t="shared" si="55"/>
        <v>#N/A</v>
      </c>
      <c r="Q748" s="29" t="e">
        <f>NA()</f>
        <v>#N/A</v>
      </c>
      <c r="R748" s="43" t="e">
        <v>#N/A</v>
      </c>
      <c r="S748" s="32" t="e">
        <f t="shared" si="58"/>
        <v>#N/A</v>
      </c>
      <c r="T748" s="54" t="e">
        <f>VLOOKUP(A748,[1]인포맥스!$A:$I,9,0)</f>
        <v>#N/A</v>
      </c>
      <c r="U748" s="70" t="e">
        <f t="shared" si="59"/>
        <v>#N/A</v>
      </c>
    </row>
    <row r="749" spans="1:21" x14ac:dyDescent="0.25">
      <c r="A749" s="3">
        <v>21640</v>
      </c>
      <c r="B749" s="29" t="e">
        <f>NA()</f>
        <v>#N/A</v>
      </c>
      <c r="C749" s="29" t="e">
        <v>#N/A</v>
      </c>
      <c r="D749" s="50">
        <f>67.1</f>
        <v>67.099999999999994</v>
      </c>
      <c r="E749" s="30">
        <v>67.099999999999994</v>
      </c>
      <c r="F749" s="29" t="e">
        <f>NA()</f>
        <v>#N/A</v>
      </c>
      <c r="G749" s="31" t="e">
        <v>#N/A</v>
      </c>
      <c r="H749" s="51" t="e">
        <f t="shared" si="56"/>
        <v>#N/A</v>
      </c>
      <c r="I749" s="29" t="e">
        <f>NA()</f>
        <v>#N/A</v>
      </c>
      <c r="J749" s="31" t="e">
        <v>#N/A</v>
      </c>
      <c r="K749" s="51" t="e">
        <f t="shared" si="57"/>
        <v>#N/A</v>
      </c>
      <c r="L749" s="29" t="e">
        <f>NA()</f>
        <v>#N/A</v>
      </c>
      <c r="M749" s="30" t="e">
        <v>#N/A</v>
      </c>
      <c r="N749" s="29" t="e">
        <f>NA()</f>
        <v>#N/A</v>
      </c>
      <c r="O749" s="29" t="e">
        <v>#N/A</v>
      </c>
      <c r="P749" s="51" t="e">
        <f t="shared" si="55"/>
        <v>#N/A</v>
      </c>
      <c r="Q749" s="29" t="e">
        <f>NA()</f>
        <v>#N/A</v>
      </c>
      <c r="R749" s="43" t="e">
        <v>#N/A</v>
      </c>
      <c r="S749" s="32" t="e">
        <f t="shared" si="58"/>
        <v>#N/A</v>
      </c>
      <c r="T749" s="54" t="e">
        <f>VLOOKUP(A749,[1]인포맥스!$A:$I,9,0)</f>
        <v>#N/A</v>
      </c>
      <c r="U749" s="70" t="e">
        <f t="shared" si="59"/>
        <v>#N/A</v>
      </c>
    </row>
    <row r="750" spans="1:21" x14ac:dyDescent="0.25">
      <c r="A750" s="3">
        <v>21609</v>
      </c>
      <c r="B750" s="29" t="e">
        <f>NA()</f>
        <v>#N/A</v>
      </c>
      <c r="C750" s="29" t="e">
        <v>#N/A</v>
      </c>
      <c r="D750" s="50">
        <f>66.9</f>
        <v>66.900000000000006</v>
      </c>
      <c r="E750" s="30">
        <v>66.900000000000006</v>
      </c>
      <c r="F750" s="29" t="e">
        <f>NA()</f>
        <v>#N/A</v>
      </c>
      <c r="G750" s="31" t="e">
        <v>#N/A</v>
      </c>
      <c r="H750" s="51" t="e">
        <f t="shared" si="56"/>
        <v>#N/A</v>
      </c>
      <c r="I750" s="29" t="e">
        <f>NA()</f>
        <v>#N/A</v>
      </c>
      <c r="J750" s="31" t="e">
        <v>#N/A</v>
      </c>
      <c r="K750" s="51" t="e">
        <f t="shared" si="57"/>
        <v>#N/A</v>
      </c>
      <c r="L750" s="29" t="e">
        <f>NA()</f>
        <v>#N/A</v>
      </c>
      <c r="M750" s="30" t="e">
        <v>#N/A</v>
      </c>
      <c r="N750" s="29" t="e">
        <f>NA()</f>
        <v>#N/A</v>
      </c>
      <c r="O750" s="29" t="e">
        <v>#N/A</v>
      </c>
      <c r="P750" s="51" t="e">
        <f t="shared" si="55"/>
        <v>#N/A</v>
      </c>
      <c r="Q750" s="29" t="e">
        <f>NA()</f>
        <v>#N/A</v>
      </c>
      <c r="R750" s="43" t="e">
        <v>#N/A</v>
      </c>
      <c r="S750" s="32" t="e">
        <f t="shared" si="58"/>
        <v>#N/A</v>
      </c>
      <c r="T750" s="54" t="e">
        <f>VLOOKUP(A750,[1]인포맥스!$A:$I,9,0)</f>
        <v>#N/A</v>
      </c>
      <c r="U750" s="70" t="e">
        <f t="shared" si="59"/>
        <v>#N/A</v>
      </c>
    </row>
    <row r="751" spans="1:21" x14ac:dyDescent="0.25">
      <c r="A751" s="3">
        <v>21581</v>
      </c>
      <c r="B751" s="29" t="e">
        <f>NA()</f>
        <v>#N/A</v>
      </c>
      <c r="C751" s="29" t="e">
        <v>#N/A</v>
      </c>
      <c r="D751" s="50">
        <f>64.4</f>
        <v>64.400000000000006</v>
      </c>
      <c r="E751" s="30">
        <v>64.400000000000006</v>
      </c>
      <c r="F751" s="29" t="e">
        <f>NA()</f>
        <v>#N/A</v>
      </c>
      <c r="G751" s="31" t="e">
        <v>#N/A</v>
      </c>
      <c r="H751" s="51" t="e">
        <f t="shared" si="56"/>
        <v>#N/A</v>
      </c>
      <c r="I751" s="29" t="e">
        <f>NA()</f>
        <v>#N/A</v>
      </c>
      <c r="J751" s="31" t="e">
        <v>#N/A</v>
      </c>
      <c r="K751" s="51" t="e">
        <f t="shared" si="57"/>
        <v>#N/A</v>
      </c>
      <c r="L751" s="29" t="e">
        <f>NA()</f>
        <v>#N/A</v>
      </c>
      <c r="M751" s="30" t="e">
        <v>#N/A</v>
      </c>
      <c r="N751" s="29" t="e">
        <f>NA()</f>
        <v>#N/A</v>
      </c>
      <c r="O751" s="29" t="e">
        <v>#N/A</v>
      </c>
      <c r="P751" s="51" t="e">
        <f t="shared" si="55"/>
        <v>#N/A</v>
      </c>
      <c r="Q751" s="29" t="e">
        <f>NA()</f>
        <v>#N/A</v>
      </c>
      <c r="R751" s="43" t="e">
        <v>#N/A</v>
      </c>
      <c r="S751" s="32" t="e">
        <f t="shared" si="58"/>
        <v>#N/A</v>
      </c>
      <c r="T751" s="54" t="e">
        <f>VLOOKUP(A751,[1]인포맥스!$A:$I,9,0)</f>
        <v>#N/A</v>
      </c>
      <c r="U751" s="70" t="e">
        <f t="shared" si="59"/>
        <v>#N/A</v>
      </c>
    </row>
    <row r="752" spans="1:21" x14ac:dyDescent="0.25">
      <c r="A752" s="3">
        <v>21550</v>
      </c>
      <c r="B752" s="29" t="e">
        <f>NA()</f>
        <v>#N/A</v>
      </c>
      <c r="C752" s="29" t="e">
        <v>#N/A</v>
      </c>
      <c r="D752" s="50">
        <f>60.5</f>
        <v>60.5</v>
      </c>
      <c r="E752" s="30">
        <v>60.5</v>
      </c>
      <c r="F752" s="29" t="e">
        <f>NA()</f>
        <v>#N/A</v>
      </c>
      <c r="G752" s="31" t="e">
        <v>#N/A</v>
      </c>
      <c r="H752" s="51" t="e">
        <f t="shared" si="56"/>
        <v>#N/A</v>
      </c>
      <c r="I752" s="29" t="e">
        <f>NA()</f>
        <v>#N/A</v>
      </c>
      <c r="J752" s="31" t="e">
        <v>#N/A</v>
      </c>
      <c r="K752" s="51" t="e">
        <f t="shared" si="57"/>
        <v>#N/A</v>
      </c>
      <c r="L752" s="29" t="e">
        <f>NA()</f>
        <v>#N/A</v>
      </c>
      <c r="M752" s="30" t="e">
        <v>#N/A</v>
      </c>
      <c r="N752" s="29" t="e">
        <f>NA()</f>
        <v>#N/A</v>
      </c>
      <c r="O752" s="29" t="e">
        <v>#N/A</v>
      </c>
      <c r="P752" s="51" t="e">
        <f t="shared" si="55"/>
        <v>#N/A</v>
      </c>
      <c r="Q752" s="29" t="e">
        <f>NA()</f>
        <v>#N/A</v>
      </c>
      <c r="R752" s="43" t="e">
        <v>#N/A</v>
      </c>
      <c r="S752" s="32" t="e">
        <f t="shared" si="58"/>
        <v>#N/A</v>
      </c>
      <c r="T752" s="54" t="e">
        <f>VLOOKUP(A752,[1]인포맥스!$A:$I,9,0)</f>
        <v>#N/A</v>
      </c>
      <c r="U752" s="70" t="e">
        <f t="shared" si="59"/>
        <v>#N/A</v>
      </c>
    </row>
    <row r="753" spans="1:21" x14ac:dyDescent="0.25">
      <c r="A753" s="3">
        <v>21519</v>
      </c>
      <c r="B753" s="29" t="e">
        <f>NA()</f>
        <v>#N/A</v>
      </c>
      <c r="C753" s="29" t="e">
        <v>#N/A</v>
      </c>
      <c r="D753" s="50">
        <f>62.7</f>
        <v>62.7</v>
      </c>
      <c r="E753" s="30">
        <v>62.7</v>
      </c>
      <c r="F753" s="29" t="e">
        <f>NA()</f>
        <v>#N/A</v>
      </c>
      <c r="G753" s="31" t="e">
        <v>#N/A</v>
      </c>
      <c r="H753" s="51" t="e">
        <f t="shared" si="56"/>
        <v>#N/A</v>
      </c>
      <c r="I753" s="29" t="e">
        <f>NA()</f>
        <v>#N/A</v>
      </c>
      <c r="J753" s="31" t="e">
        <v>#N/A</v>
      </c>
      <c r="K753" s="51" t="e">
        <f t="shared" si="57"/>
        <v>#N/A</v>
      </c>
      <c r="L753" s="29" t="e">
        <f>NA()</f>
        <v>#N/A</v>
      </c>
      <c r="M753" s="30" t="e">
        <v>#N/A</v>
      </c>
      <c r="N753" s="29" t="e">
        <f>NA()</f>
        <v>#N/A</v>
      </c>
      <c r="O753" s="29" t="e">
        <v>#N/A</v>
      </c>
      <c r="P753" s="51" t="e">
        <f t="shared" si="55"/>
        <v>#N/A</v>
      </c>
      <c r="Q753" s="29" t="e">
        <f>NA()</f>
        <v>#N/A</v>
      </c>
      <c r="R753" s="43" t="e">
        <v>#N/A</v>
      </c>
      <c r="S753" s="32" t="e">
        <f t="shared" si="58"/>
        <v>#N/A</v>
      </c>
      <c r="T753" s="54" t="e">
        <f>VLOOKUP(A753,[1]인포맥스!$A:$I,9,0)</f>
        <v>#N/A</v>
      </c>
      <c r="U753" s="70" t="e">
        <f t="shared" si="59"/>
        <v>#N/A</v>
      </c>
    </row>
    <row r="754" spans="1:21" x14ac:dyDescent="0.25">
      <c r="A754" s="3">
        <v>21489</v>
      </c>
      <c r="B754" s="29" t="e">
        <f>NA()</f>
        <v>#N/A</v>
      </c>
      <c r="C754" s="29" t="e">
        <v>#N/A</v>
      </c>
      <c r="D754" s="50">
        <f>62.3</f>
        <v>62.3</v>
      </c>
      <c r="E754" s="30">
        <v>62.3</v>
      </c>
      <c r="F754" s="29" t="e">
        <f>NA()</f>
        <v>#N/A</v>
      </c>
      <c r="G754" s="31" t="e">
        <v>#N/A</v>
      </c>
      <c r="H754" s="51" t="e">
        <f t="shared" si="56"/>
        <v>#N/A</v>
      </c>
      <c r="I754" s="29" t="e">
        <f>NA()</f>
        <v>#N/A</v>
      </c>
      <c r="J754" s="31" t="e">
        <v>#N/A</v>
      </c>
      <c r="K754" s="51" t="e">
        <f t="shared" si="57"/>
        <v>#N/A</v>
      </c>
      <c r="L754" s="29" t="e">
        <f>NA()</f>
        <v>#N/A</v>
      </c>
      <c r="M754" s="30" t="e">
        <v>#N/A</v>
      </c>
      <c r="N754" s="29" t="e">
        <f>NA()</f>
        <v>#N/A</v>
      </c>
      <c r="O754" s="29" t="e">
        <v>#N/A</v>
      </c>
      <c r="P754" s="51" t="e">
        <f t="shared" si="55"/>
        <v>#N/A</v>
      </c>
      <c r="Q754" s="29" t="e">
        <f>NA()</f>
        <v>#N/A</v>
      </c>
      <c r="R754" s="43" t="e">
        <v>#N/A</v>
      </c>
      <c r="S754" s="32" t="e">
        <f t="shared" si="58"/>
        <v>#N/A</v>
      </c>
      <c r="T754" s="54" t="e">
        <f>VLOOKUP(A754,[1]인포맥스!$A:$I,9,0)</f>
        <v>#N/A</v>
      </c>
      <c r="U754" s="70" t="e">
        <f t="shared" si="59"/>
        <v>#N/A</v>
      </c>
    </row>
    <row r="755" spans="1:21" x14ac:dyDescent="0.25">
      <c r="A755" s="3">
        <v>21458</v>
      </c>
      <c r="B755" s="29" t="e">
        <f>NA()</f>
        <v>#N/A</v>
      </c>
      <c r="C755" s="29" t="e">
        <v>#N/A</v>
      </c>
      <c r="D755" s="50">
        <f>59.8</f>
        <v>59.8</v>
      </c>
      <c r="E755" s="30">
        <v>59.8</v>
      </c>
      <c r="F755" s="29" t="e">
        <f>NA()</f>
        <v>#N/A</v>
      </c>
      <c r="G755" s="31" t="e">
        <v>#N/A</v>
      </c>
      <c r="H755" s="51" t="e">
        <f t="shared" si="56"/>
        <v>#N/A</v>
      </c>
      <c r="I755" s="29" t="e">
        <f>NA()</f>
        <v>#N/A</v>
      </c>
      <c r="J755" s="31" t="e">
        <v>#N/A</v>
      </c>
      <c r="K755" s="51" t="e">
        <f t="shared" si="57"/>
        <v>#N/A</v>
      </c>
      <c r="L755" s="29" t="e">
        <f>NA()</f>
        <v>#N/A</v>
      </c>
      <c r="M755" s="30" t="e">
        <v>#N/A</v>
      </c>
      <c r="N755" s="29" t="e">
        <f>NA()</f>
        <v>#N/A</v>
      </c>
      <c r="O755" s="29" t="e">
        <v>#N/A</v>
      </c>
      <c r="P755" s="51" t="e">
        <f t="shared" si="55"/>
        <v>#N/A</v>
      </c>
      <c r="Q755" s="29" t="e">
        <f>NA()</f>
        <v>#N/A</v>
      </c>
      <c r="R755" s="43" t="e">
        <v>#N/A</v>
      </c>
      <c r="S755" s="32" t="e">
        <f t="shared" si="58"/>
        <v>#N/A</v>
      </c>
      <c r="T755" s="54" t="e">
        <f>VLOOKUP(A755,[1]인포맥스!$A:$I,9,0)</f>
        <v>#N/A</v>
      </c>
      <c r="U755" s="70" t="e">
        <f t="shared" si="59"/>
        <v>#N/A</v>
      </c>
    </row>
    <row r="756" spans="1:21" x14ac:dyDescent="0.25">
      <c r="A756" s="3">
        <v>21428</v>
      </c>
      <c r="B756" s="29" t="e">
        <f>NA()</f>
        <v>#N/A</v>
      </c>
      <c r="C756" s="29" t="e">
        <v>#N/A</v>
      </c>
      <c r="D756" s="50">
        <f>57.3</f>
        <v>57.3</v>
      </c>
      <c r="E756" s="30">
        <v>57.3</v>
      </c>
      <c r="F756" s="29" t="e">
        <f>NA()</f>
        <v>#N/A</v>
      </c>
      <c r="G756" s="31" t="e">
        <v>#N/A</v>
      </c>
      <c r="H756" s="51" t="e">
        <f t="shared" si="56"/>
        <v>#N/A</v>
      </c>
      <c r="I756" s="29" t="e">
        <f>NA()</f>
        <v>#N/A</v>
      </c>
      <c r="J756" s="31" t="e">
        <v>#N/A</v>
      </c>
      <c r="K756" s="51" t="e">
        <f t="shared" si="57"/>
        <v>#N/A</v>
      </c>
      <c r="L756" s="29" t="e">
        <f>NA()</f>
        <v>#N/A</v>
      </c>
      <c r="M756" s="30" t="e">
        <v>#N/A</v>
      </c>
      <c r="N756" s="29" t="e">
        <f>NA()</f>
        <v>#N/A</v>
      </c>
      <c r="O756" s="29" t="e">
        <v>#N/A</v>
      </c>
      <c r="P756" s="51" t="e">
        <f t="shared" si="55"/>
        <v>#N/A</v>
      </c>
      <c r="Q756" s="29" t="e">
        <f>NA()</f>
        <v>#N/A</v>
      </c>
      <c r="R756" s="43" t="e">
        <v>#N/A</v>
      </c>
      <c r="S756" s="32" t="e">
        <f t="shared" si="58"/>
        <v>#N/A</v>
      </c>
      <c r="T756" s="54" t="e">
        <f>VLOOKUP(A756,[1]인포맥스!$A:$I,9,0)</f>
        <v>#N/A</v>
      </c>
      <c r="U756" s="70" t="e">
        <f t="shared" si="59"/>
        <v>#N/A</v>
      </c>
    </row>
    <row r="757" spans="1:21" x14ac:dyDescent="0.25">
      <c r="A757" s="3">
        <v>21397</v>
      </c>
      <c r="B757" s="29" t="e">
        <f>NA()</f>
        <v>#N/A</v>
      </c>
      <c r="C757" s="29" t="e">
        <v>#N/A</v>
      </c>
      <c r="D757" s="50">
        <f>54.7</f>
        <v>54.7</v>
      </c>
      <c r="E757" s="30">
        <v>54.7</v>
      </c>
      <c r="F757" s="29" t="e">
        <f>NA()</f>
        <v>#N/A</v>
      </c>
      <c r="G757" s="31" t="e">
        <v>#N/A</v>
      </c>
      <c r="H757" s="51" t="e">
        <f t="shared" si="56"/>
        <v>#N/A</v>
      </c>
      <c r="I757" s="29" t="e">
        <f>NA()</f>
        <v>#N/A</v>
      </c>
      <c r="J757" s="31" t="e">
        <v>#N/A</v>
      </c>
      <c r="K757" s="51" t="e">
        <f t="shared" si="57"/>
        <v>#N/A</v>
      </c>
      <c r="L757" s="29" t="e">
        <f>NA()</f>
        <v>#N/A</v>
      </c>
      <c r="M757" s="30" t="e">
        <v>#N/A</v>
      </c>
      <c r="N757" s="29" t="e">
        <f>NA()</f>
        <v>#N/A</v>
      </c>
      <c r="O757" s="29" t="e">
        <v>#N/A</v>
      </c>
      <c r="P757" s="51" t="e">
        <f t="shared" si="55"/>
        <v>#N/A</v>
      </c>
      <c r="Q757" s="29" t="e">
        <f>NA()</f>
        <v>#N/A</v>
      </c>
      <c r="R757" s="43" t="e">
        <v>#N/A</v>
      </c>
      <c r="S757" s="32" t="e">
        <f t="shared" si="58"/>
        <v>#N/A</v>
      </c>
      <c r="T757" s="54" t="e">
        <f>VLOOKUP(A757,[1]인포맥스!$A:$I,9,0)</f>
        <v>#N/A</v>
      </c>
      <c r="U757" s="70" t="e">
        <f t="shared" si="59"/>
        <v>#N/A</v>
      </c>
    </row>
    <row r="758" spans="1:21" x14ac:dyDescent="0.25">
      <c r="A758" s="3">
        <v>21366</v>
      </c>
      <c r="B758" s="29" t="e">
        <f>NA()</f>
        <v>#N/A</v>
      </c>
      <c r="C758" s="29" t="e">
        <v>#N/A</v>
      </c>
      <c r="D758" s="50">
        <f>51.4</f>
        <v>51.4</v>
      </c>
      <c r="E758" s="30">
        <v>51.4</v>
      </c>
      <c r="F758" s="29" t="e">
        <f>NA()</f>
        <v>#N/A</v>
      </c>
      <c r="G758" s="31" t="e">
        <v>#N/A</v>
      </c>
      <c r="H758" s="51" t="e">
        <f t="shared" si="56"/>
        <v>#N/A</v>
      </c>
      <c r="I758" s="29" t="e">
        <f>NA()</f>
        <v>#N/A</v>
      </c>
      <c r="J758" s="31" t="e">
        <v>#N/A</v>
      </c>
      <c r="K758" s="51" t="e">
        <f t="shared" si="57"/>
        <v>#N/A</v>
      </c>
      <c r="L758" s="29" t="e">
        <f>NA()</f>
        <v>#N/A</v>
      </c>
      <c r="M758" s="30" t="e">
        <v>#N/A</v>
      </c>
      <c r="N758" s="29" t="e">
        <f>NA()</f>
        <v>#N/A</v>
      </c>
      <c r="O758" s="29" t="e">
        <v>#N/A</v>
      </c>
      <c r="P758" s="51" t="e">
        <f t="shared" si="55"/>
        <v>#N/A</v>
      </c>
      <c r="Q758" s="29" t="e">
        <f>NA()</f>
        <v>#N/A</v>
      </c>
      <c r="R758" s="43" t="e">
        <v>#N/A</v>
      </c>
      <c r="S758" s="32" t="e">
        <f t="shared" si="58"/>
        <v>#N/A</v>
      </c>
      <c r="T758" s="54" t="e">
        <f>VLOOKUP(A758,[1]인포맥스!$A:$I,9,0)</f>
        <v>#N/A</v>
      </c>
      <c r="U758" s="70" t="e">
        <f t="shared" si="59"/>
        <v>#N/A</v>
      </c>
    </row>
    <row r="759" spans="1:21" x14ac:dyDescent="0.25">
      <c r="A759" s="3">
        <v>21336</v>
      </c>
      <c r="B759" s="29" t="e">
        <f>NA()</f>
        <v>#N/A</v>
      </c>
      <c r="C759" s="29" t="e">
        <v>#N/A</v>
      </c>
      <c r="D759" s="50">
        <f>46.6</f>
        <v>46.6</v>
      </c>
      <c r="E759" s="30">
        <v>46.6</v>
      </c>
      <c r="F759" s="29" t="e">
        <f>NA()</f>
        <v>#N/A</v>
      </c>
      <c r="G759" s="31" t="e">
        <v>#N/A</v>
      </c>
      <c r="H759" s="51" t="e">
        <f t="shared" si="56"/>
        <v>#N/A</v>
      </c>
      <c r="I759" s="29" t="e">
        <f>NA()</f>
        <v>#N/A</v>
      </c>
      <c r="J759" s="31" t="e">
        <v>#N/A</v>
      </c>
      <c r="K759" s="51" t="e">
        <f t="shared" si="57"/>
        <v>#N/A</v>
      </c>
      <c r="L759" s="29" t="e">
        <f>NA()</f>
        <v>#N/A</v>
      </c>
      <c r="M759" s="30" t="e">
        <v>#N/A</v>
      </c>
      <c r="N759" s="29" t="e">
        <f>NA()</f>
        <v>#N/A</v>
      </c>
      <c r="O759" s="29" t="e">
        <v>#N/A</v>
      </c>
      <c r="P759" s="51" t="e">
        <f t="shared" si="55"/>
        <v>#N/A</v>
      </c>
      <c r="Q759" s="29" t="e">
        <f>NA()</f>
        <v>#N/A</v>
      </c>
      <c r="R759" s="43" t="e">
        <v>#N/A</v>
      </c>
      <c r="S759" s="32" t="e">
        <f t="shared" si="58"/>
        <v>#N/A</v>
      </c>
      <c r="T759" s="54" t="e">
        <f>VLOOKUP(A759,[1]인포맥스!$A:$I,9,0)</f>
        <v>#N/A</v>
      </c>
      <c r="U759" s="70" t="e">
        <f t="shared" si="59"/>
        <v>#N/A</v>
      </c>
    </row>
    <row r="760" spans="1:21" x14ac:dyDescent="0.25">
      <c r="A760" s="3">
        <v>21305</v>
      </c>
      <c r="B760" s="29" t="e">
        <f>NA()</f>
        <v>#N/A</v>
      </c>
      <c r="C760" s="29" t="e">
        <v>#N/A</v>
      </c>
      <c r="D760" s="50">
        <f>39.1</f>
        <v>39.1</v>
      </c>
      <c r="E760" s="30">
        <v>39.1</v>
      </c>
      <c r="F760" s="29" t="e">
        <f>NA()</f>
        <v>#N/A</v>
      </c>
      <c r="G760" s="31" t="e">
        <v>#N/A</v>
      </c>
      <c r="H760" s="51" t="e">
        <f t="shared" si="56"/>
        <v>#N/A</v>
      </c>
      <c r="I760" s="29" t="e">
        <f>NA()</f>
        <v>#N/A</v>
      </c>
      <c r="J760" s="31" t="e">
        <v>#N/A</v>
      </c>
      <c r="K760" s="51" t="e">
        <f t="shared" si="57"/>
        <v>#N/A</v>
      </c>
      <c r="L760" s="29" t="e">
        <f>NA()</f>
        <v>#N/A</v>
      </c>
      <c r="M760" s="30" t="e">
        <v>#N/A</v>
      </c>
      <c r="N760" s="29" t="e">
        <f>NA()</f>
        <v>#N/A</v>
      </c>
      <c r="O760" s="29" t="e">
        <v>#N/A</v>
      </c>
      <c r="P760" s="51" t="e">
        <f t="shared" si="55"/>
        <v>#N/A</v>
      </c>
      <c r="Q760" s="29" t="e">
        <f>NA()</f>
        <v>#N/A</v>
      </c>
      <c r="R760" s="43" t="e">
        <v>#N/A</v>
      </c>
      <c r="S760" s="32" t="e">
        <f t="shared" si="58"/>
        <v>#N/A</v>
      </c>
      <c r="T760" s="54" t="e">
        <f>VLOOKUP(A760,[1]인포맥스!$A:$I,9,0)</f>
        <v>#N/A</v>
      </c>
      <c r="U760" s="70" t="e">
        <f t="shared" si="59"/>
        <v>#N/A</v>
      </c>
    </row>
    <row r="761" spans="1:21" x14ac:dyDescent="0.25">
      <c r="A761" s="3">
        <v>21275</v>
      </c>
      <c r="B761" s="29" t="e">
        <f>NA()</f>
        <v>#N/A</v>
      </c>
      <c r="C761" s="29" t="e">
        <v>#N/A</v>
      </c>
      <c r="D761" s="50">
        <f>39.8</f>
        <v>39.799999999999997</v>
      </c>
      <c r="E761" s="30">
        <v>39.799999999999997</v>
      </c>
      <c r="F761" s="29" t="e">
        <f>NA()</f>
        <v>#N/A</v>
      </c>
      <c r="G761" s="31" t="e">
        <v>#N/A</v>
      </c>
      <c r="H761" s="51" t="e">
        <f t="shared" si="56"/>
        <v>#N/A</v>
      </c>
      <c r="I761" s="29" t="e">
        <f>NA()</f>
        <v>#N/A</v>
      </c>
      <c r="J761" s="31" t="e">
        <v>#N/A</v>
      </c>
      <c r="K761" s="51" t="e">
        <f t="shared" si="57"/>
        <v>#N/A</v>
      </c>
      <c r="L761" s="29" t="e">
        <f>NA()</f>
        <v>#N/A</v>
      </c>
      <c r="M761" s="30" t="e">
        <v>#N/A</v>
      </c>
      <c r="N761" s="29" t="e">
        <f>NA()</f>
        <v>#N/A</v>
      </c>
      <c r="O761" s="29" t="e">
        <v>#N/A</v>
      </c>
      <c r="P761" s="51" t="e">
        <f t="shared" si="55"/>
        <v>#N/A</v>
      </c>
      <c r="Q761" s="29" t="e">
        <f>NA()</f>
        <v>#N/A</v>
      </c>
      <c r="R761" s="43" t="e">
        <v>#N/A</v>
      </c>
      <c r="S761" s="32" t="e">
        <f t="shared" si="58"/>
        <v>#N/A</v>
      </c>
      <c r="T761" s="54" t="e">
        <f>VLOOKUP(A761,[1]인포맥스!$A:$I,9,0)</f>
        <v>#N/A</v>
      </c>
      <c r="U761" s="70" t="e">
        <f t="shared" si="59"/>
        <v>#N/A</v>
      </c>
    </row>
    <row r="762" spans="1:21" x14ac:dyDescent="0.25">
      <c r="A762" s="3">
        <v>21244</v>
      </c>
      <c r="B762" s="29" t="e">
        <f>NA()</f>
        <v>#N/A</v>
      </c>
      <c r="C762" s="29" t="e">
        <v>#N/A</v>
      </c>
      <c r="D762" s="50">
        <f>37.2</f>
        <v>37.200000000000003</v>
      </c>
      <c r="E762" s="30">
        <v>37.200000000000003</v>
      </c>
      <c r="F762" s="29" t="e">
        <f>NA()</f>
        <v>#N/A</v>
      </c>
      <c r="G762" s="31" t="e">
        <v>#N/A</v>
      </c>
      <c r="H762" s="51" t="e">
        <f t="shared" si="56"/>
        <v>#N/A</v>
      </c>
      <c r="I762" s="29" t="e">
        <f>NA()</f>
        <v>#N/A</v>
      </c>
      <c r="J762" s="31" t="e">
        <v>#N/A</v>
      </c>
      <c r="K762" s="51" t="e">
        <f t="shared" si="57"/>
        <v>#N/A</v>
      </c>
      <c r="L762" s="29" t="e">
        <f>NA()</f>
        <v>#N/A</v>
      </c>
      <c r="M762" s="30" t="e">
        <v>#N/A</v>
      </c>
      <c r="N762" s="29" t="e">
        <f>NA()</f>
        <v>#N/A</v>
      </c>
      <c r="O762" s="29" t="e">
        <v>#N/A</v>
      </c>
      <c r="P762" s="51" t="e">
        <f t="shared" si="55"/>
        <v>#N/A</v>
      </c>
      <c r="Q762" s="29" t="e">
        <f>NA()</f>
        <v>#N/A</v>
      </c>
      <c r="R762" s="43" t="e">
        <v>#N/A</v>
      </c>
      <c r="S762" s="32" t="e">
        <f t="shared" si="58"/>
        <v>#N/A</v>
      </c>
      <c r="T762" s="54" t="e">
        <f>VLOOKUP(A762,[1]인포맥스!$A:$I,9,0)</f>
        <v>#N/A</v>
      </c>
      <c r="U762" s="70" t="e">
        <f t="shared" si="59"/>
        <v>#N/A</v>
      </c>
    </row>
    <row r="763" spans="1:21" x14ac:dyDescent="0.25">
      <c r="A763" s="3">
        <v>21216</v>
      </c>
      <c r="B763" s="29" t="e">
        <f>NA()</f>
        <v>#N/A</v>
      </c>
      <c r="C763" s="29" t="e">
        <v>#N/A</v>
      </c>
      <c r="D763" s="50">
        <f>33.4</f>
        <v>33.4</v>
      </c>
      <c r="E763" s="30">
        <v>33.4</v>
      </c>
      <c r="F763" s="29" t="e">
        <f>NA()</f>
        <v>#N/A</v>
      </c>
      <c r="G763" s="31" t="e">
        <v>#N/A</v>
      </c>
      <c r="H763" s="51" t="e">
        <f t="shared" si="56"/>
        <v>#N/A</v>
      </c>
      <c r="I763" s="29" t="e">
        <f>NA()</f>
        <v>#N/A</v>
      </c>
      <c r="J763" s="31" t="e">
        <v>#N/A</v>
      </c>
      <c r="K763" s="51" t="e">
        <f t="shared" si="57"/>
        <v>#N/A</v>
      </c>
      <c r="L763" s="29" t="e">
        <f>NA()</f>
        <v>#N/A</v>
      </c>
      <c r="M763" s="30" t="e">
        <v>#N/A</v>
      </c>
      <c r="N763" s="29" t="e">
        <f>NA()</f>
        <v>#N/A</v>
      </c>
      <c r="O763" s="29" t="e">
        <v>#N/A</v>
      </c>
      <c r="P763" s="51" t="e">
        <f t="shared" si="55"/>
        <v>#N/A</v>
      </c>
      <c r="Q763" s="29" t="e">
        <f>NA()</f>
        <v>#N/A</v>
      </c>
      <c r="R763" s="43" t="e">
        <v>#N/A</v>
      </c>
      <c r="S763" s="32" t="e">
        <f t="shared" si="58"/>
        <v>#N/A</v>
      </c>
      <c r="T763" s="54" t="e">
        <f>VLOOKUP(A763,[1]인포맥스!$A:$I,9,0)</f>
        <v>#N/A</v>
      </c>
      <c r="U763" s="70" t="e">
        <f t="shared" si="59"/>
        <v>#N/A</v>
      </c>
    </row>
    <row r="764" spans="1:21" x14ac:dyDescent="0.25">
      <c r="A764" s="3">
        <v>21185</v>
      </c>
      <c r="B764" s="29" t="e">
        <f>NA()</f>
        <v>#N/A</v>
      </c>
      <c r="C764" s="29" t="e">
        <v>#N/A</v>
      </c>
      <c r="D764" s="50">
        <f>36.8</f>
        <v>36.799999999999997</v>
      </c>
      <c r="E764" s="30">
        <v>36.799999999999997</v>
      </c>
      <c r="F764" s="29" t="e">
        <f>NA()</f>
        <v>#N/A</v>
      </c>
      <c r="G764" s="31" t="e">
        <v>#N/A</v>
      </c>
      <c r="H764" s="51" t="e">
        <f t="shared" si="56"/>
        <v>#N/A</v>
      </c>
      <c r="I764" s="29" t="e">
        <f>NA()</f>
        <v>#N/A</v>
      </c>
      <c r="J764" s="31" t="e">
        <v>#N/A</v>
      </c>
      <c r="K764" s="51" t="e">
        <f t="shared" si="57"/>
        <v>#N/A</v>
      </c>
      <c r="L764" s="29" t="e">
        <f>NA()</f>
        <v>#N/A</v>
      </c>
      <c r="M764" s="30" t="e">
        <v>#N/A</v>
      </c>
      <c r="N764" s="29" t="e">
        <f>NA()</f>
        <v>#N/A</v>
      </c>
      <c r="O764" s="29" t="e">
        <v>#N/A</v>
      </c>
      <c r="P764" s="51" t="e">
        <f t="shared" si="55"/>
        <v>#N/A</v>
      </c>
      <c r="Q764" s="29" t="e">
        <f>NA()</f>
        <v>#N/A</v>
      </c>
      <c r="R764" s="43" t="e">
        <v>#N/A</v>
      </c>
      <c r="S764" s="32" t="e">
        <f t="shared" si="58"/>
        <v>#N/A</v>
      </c>
      <c r="T764" s="54" t="e">
        <f>VLOOKUP(A764,[1]인포맥스!$A:$I,9,0)</f>
        <v>#N/A</v>
      </c>
      <c r="U764" s="70" t="e">
        <f t="shared" si="59"/>
        <v>#N/A</v>
      </c>
    </row>
    <row r="765" spans="1:21" x14ac:dyDescent="0.25">
      <c r="A765" s="3">
        <v>21154</v>
      </c>
      <c r="B765" s="29" t="e">
        <f>NA()</f>
        <v>#N/A</v>
      </c>
      <c r="C765" s="29" t="e">
        <v>#N/A</v>
      </c>
      <c r="D765" s="50">
        <f>40.4</f>
        <v>40.4</v>
      </c>
      <c r="E765" s="30">
        <v>40.4</v>
      </c>
      <c r="F765" s="29" t="e">
        <f>NA()</f>
        <v>#N/A</v>
      </c>
      <c r="G765" s="31" t="e">
        <v>#N/A</v>
      </c>
      <c r="H765" s="51" t="e">
        <f t="shared" si="56"/>
        <v>#N/A</v>
      </c>
      <c r="I765" s="29" t="e">
        <f>NA()</f>
        <v>#N/A</v>
      </c>
      <c r="J765" s="31" t="e">
        <v>#N/A</v>
      </c>
      <c r="K765" s="51" t="e">
        <f t="shared" si="57"/>
        <v>#N/A</v>
      </c>
      <c r="L765" s="29" t="e">
        <f>NA()</f>
        <v>#N/A</v>
      </c>
      <c r="M765" s="30" t="e">
        <v>#N/A</v>
      </c>
      <c r="N765" s="29" t="e">
        <f>NA()</f>
        <v>#N/A</v>
      </c>
      <c r="O765" s="29" t="e">
        <v>#N/A</v>
      </c>
      <c r="P765" s="51" t="e">
        <f t="shared" si="55"/>
        <v>#N/A</v>
      </c>
      <c r="Q765" s="29" t="e">
        <f>NA()</f>
        <v>#N/A</v>
      </c>
      <c r="R765" s="43" t="e">
        <v>#N/A</v>
      </c>
      <c r="S765" s="32" t="e">
        <f t="shared" si="58"/>
        <v>#N/A</v>
      </c>
      <c r="T765" s="54" t="e">
        <f>VLOOKUP(A765,[1]인포맥스!$A:$I,9,0)</f>
        <v>#N/A</v>
      </c>
      <c r="U765" s="70" t="e">
        <f t="shared" si="59"/>
        <v>#N/A</v>
      </c>
    </row>
    <row r="766" spans="1:21" x14ac:dyDescent="0.25">
      <c r="A766" s="3">
        <v>21124</v>
      </c>
      <c r="B766" s="29" t="e">
        <f>NA()</f>
        <v>#N/A</v>
      </c>
      <c r="C766" s="29" t="e">
        <v>#N/A</v>
      </c>
      <c r="D766" s="50">
        <f>41.1</f>
        <v>41.1</v>
      </c>
      <c r="E766" s="30">
        <v>41.1</v>
      </c>
      <c r="F766" s="29" t="e">
        <f>NA()</f>
        <v>#N/A</v>
      </c>
      <c r="G766" s="31" t="e">
        <v>#N/A</v>
      </c>
      <c r="H766" s="51" t="e">
        <f t="shared" si="56"/>
        <v>#N/A</v>
      </c>
      <c r="I766" s="29" t="e">
        <f>NA()</f>
        <v>#N/A</v>
      </c>
      <c r="J766" s="31" t="e">
        <v>#N/A</v>
      </c>
      <c r="K766" s="51" t="e">
        <f t="shared" si="57"/>
        <v>#N/A</v>
      </c>
      <c r="L766" s="29" t="e">
        <f>NA()</f>
        <v>#N/A</v>
      </c>
      <c r="M766" s="30" t="e">
        <v>#N/A</v>
      </c>
      <c r="N766" s="29" t="e">
        <f>NA()</f>
        <v>#N/A</v>
      </c>
      <c r="O766" s="29" t="e">
        <v>#N/A</v>
      </c>
      <c r="P766" s="51" t="e">
        <f t="shared" si="55"/>
        <v>#N/A</v>
      </c>
      <c r="Q766" s="29" t="e">
        <f>NA()</f>
        <v>#N/A</v>
      </c>
      <c r="R766" s="43" t="e">
        <v>#N/A</v>
      </c>
      <c r="S766" s="32" t="e">
        <f t="shared" si="58"/>
        <v>#N/A</v>
      </c>
      <c r="T766" s="54" t="e">
        <f>VLOOKUP(A766,[1]인포맥스!$A:$I,9,0)</f>
        <v>#N/A</v>
      </c>
      <c r="U766" s="70" t="e">
        <f t="shared" si="59"/>
        <v>#N/A</v>
      </c>
    </row>
    <row r="767" spans="1:21" x14ac:dyDescent="0.25">
      <c r="A767" s="3">
        <v>21093</v>
      </c>
      <c r="B767" s="29" t="e">
        <f>NA()</f>
        <v>#N/A</v>
      </c>
      <c r="C767" s="29" t="e">
        <v>#N/A</v>
      </c>
      <c r="D767" s="50">
        <f>45.8</f>
        <v>45.8</v>
      </c>
      <c r="E767" s="30">
        <v>45.8</v>
      </c>
      <c r="F767" s="29" t="e">
        <f>NA()</f>
        <v>#N/A</v>
      </c>
      <c r="G767" s="31" t="e">
        <v>#N/A</v>
      </c>
      <c r="H767" s="51" t="e">
        <f t="shared" si="56"/>
        <v>#N/A</v>
      </c>
      <c r="I767" s="29" t="e">
        <f>NA()</f>
        <v>#N/A</v>
      </c>
      <c r="J767" s="31" t="e">
        <v>#N/A</v>
      </c>
      <c r="K767" s="51" t="e">
        <f t="shared" si="57"/>
        <v>#N/A</v>
      </c>
      <c r="L767" s="29" t="e">
        <f>NA()</f>
        <v>#N/A</v>
      </c>
      <c r="M767" s="30" t="e">
        <v>#N/A</v>
      </c>
      <c r="N767" s="29" t="e">
        <f>NA()</f>
        <v>#N/A</v>
      </c>
      <c r="O767" s="29" t="e">
        <v>#N/A</v>
      </c>
      <c r="P767" s="51" t="e">
        <f t="shared" si="55"/>
        <v>#N/A</v>
      </c>
      <c r="Q767" s="29" t="e">
        <f>NA()</f>
        <v>#N/A</v>
      </c>
      <c r="R767" s="43" t="e">
        <v>#N/A</v>
      </c>
      <c r="S767" s="32" t="e">
        <f t="shared" si="58"/>
        <v>#N/A</v>
      </c>
      <c r="T767" s="54" t="e">
        <f>VLOOKUP(A767,[1]인포맥스!$A:$I,9,0)</f>
        <v>#N/A</v>
      </c>
      <c r="U767" s="70" t="e">
        <f t="shared" si="59"/>
        <v>#N/A</v>
      </c>
    </row>
    <row r="768" spans="1:21" x14ac:dyDescent="0.25">
      <c r="A768" s="3">
        <v>21063</v>
      </c>
      <c r="B768" s="29" t="e">
        <f>NA()</f>
        <v>#N/A</v>
      </c>
      <c r="C768" s="29" t="e">
        <v>#N/A</v>
      </c>
      <c r="D768" s="50">
        <f>45.3</f>
        <v>45.3</v>
      </c>
      <c r="E768" s="30">
        <v>45.3</v>
      </c>
      <c r="F768" s="29" t="e">
        <f>NA()</f>
        <v>#N/A</v>
      </c>
      <c r="G768" s="31" t="e">
        <v>#N/A</v>
      </c>
      <c r="H768" s="51" t="e">
        <f t="shared" si="56"/>
        <v>#N/A</v>
      </c>
      <c r="I768" s="29" t="e">
        <f>NA()</f>
        <v>#N/A</v>
      </c>
      <c r="J768" s="31" t="e">
        <v>#N/A</v>
      </c>
      <c r="K768" s="51" t="e">
        <f t="shared" si="57"/>
        <v>#N/A</v>
      </c>
      <c r="L768" s="29" t="e">
        <f>NA()</f>
        <v>#N/A</v>
      </c>
      <c r="M768" s="30" t="e">
        <v>#N/A</v>
      </c>
      <c r="N768" s="29" t="e">
        <f>NA()</f>
        <v>#N/A</v>
      </c>
      <c r="O768" s="29" t="e">
        <v>#N/A</v>
      </c>
      <c r="P768" s="51" t="e">
        <f t="shared" si="55"/>
        <v>#N/A</v>
      </c>
      <c r="Q768" s="29" t="e">
        <f>NA()</f>
        <v>#N/A</v>
      </c>
      <c r="R768" s="43" t="e">
        <v>#N/A</v>
      </c>
      <c r="S768" s="32" t="e">
        <f t="shared" si="58"/>
        <v>#N/A</v>
      </c>
      <c r="T768" s="54" t="e">
        <f>VLOOKUP(A768,[1]인포맥스!$A:$I,9,0)</f>
        <v>#N/A</v>
      </c>
      <c r="U768" s="70" t="e">
        <f t="shared" si="59"/>
        <v>#N/A</v>
      </c>
    </row>
    <row r="769" spans="1:21" x14ac:dyDescent="0.25">
      <c r="A769" s="3">
        <v>21032</v>
      </c>
      <c r="B769" s="29" t="e">
        <f>NA()</f>
        <v>#N/A</v>
      </c>
      <c r="C769" s="29" t="e">
        <v>#N/A</v>
      </c>
      <c r="D769" s="50">
        <f>45.7</f>
        <v>45.7</v>
      </c>
      <c r="E769" s="30">
        <v>45.7</v>
      </c>
      <c r="F769" s="29" t="e">
        <f>NA()</f>
        <v>#N/A</v>
      </c>
      <c r="G769" s="31" t="e">
        <v>#N/A</v>
      </c>
      <c r="H769" s="51" t="e">
        <f t="shared" si="56"/>
        <v>#N/A</v>
      </c>
      <c r="I769" s="29" t="e">
        <f>NA()</f>
        <v>#N/A</v>
      </c>
      <c r="J769" s="31" t="e">
        <v>#N/A</v>
      </c>
      <c r="K769" s="51" t="e">
        <f t="shared" si="57"/>
        <v>#N/A</v>
      </c>
      <c r="L769" s="29" t="e">
        <f>NA()</f>
        <v>#N/A</v>
      </c>
      <c r="M769" s="30" t="e">
        <v>#N/A</v>
      </c>
      <c r="N769" s="29" t="e">
        <f>NA()</f>
        <v>#N/A</v>
      </c>
      <c r="O769" s="29" t="e">
        <v>#N/A</v>
      </c>
      <c r="P769" s="51" t="e">
        <f t="shared" si="55"/>
        <v>#N/A</v>
      </c>
      <c r="Q769" s="29" t="e">
        <f>NA()</f>
        <v>#N/A</v>
      </c>
      <c r="R769" s="43" t="e">
        <v>#N/A</v>
      </c>
      <c r="S769" s="32" t="e">
        <f t="shared" si="58"/>
        <v>#N/A</v>
      </c>
      <c r="T769" s="54" t="e">
        <f>VLOOKUP(A769,[1]인포맥스!$A:$I,9,0)</f>
        <v>#N/A</v>
      </c>
      <c r="U769" s="70" t="e">
        <f t="shared" si="59"/>
        <v>#N/A</v>
      </c>
    </row>
    <row r="770" spans="1:21" x14ac:dyDescent="0.25">
      <c r="A770" s="3">
        <v>21001</v>
      </c>
      <c r="B770" s="29" t="e">
        <f>NA()</f>
        <v>#N/A</v>
      </c>
      <c r="C770" s="29" t="e">
        <v>#N/A</v>
      </c>
      <c r="D770" s="50">
        <f>45.9</f>
        <v>45.9</v>
      </c>
      <c r="E770" s="30">
        <v>45.9</v>
      </c>
      <c r="F770" s="29" t="e">
        <f>NA()</f>
        <v>#N/A</v>
      </c>
      <c r="G770" s="31" t="e">
        <v>#N/A</v>
      </c>
      <c r="H770" s="51" t="e">
        <f t="shared" si="56"/>
        <v>#N/A</v>
      </c>
      <c r="I770" s="29" t="e">
        <f>NA()</f>
        <v>#N/A</v>
      </c>
      <c r="J770" s="31" t="e">
        <v>#N/A</v>
      </c>
      <c r="K770" s="51" t="e">
        <f t="shared" si="57"/>
        <v>#N/A</v>
      </c>
      <c r="L770" s="29" t="e">
        <f>NA()</f>
        <v>#N/A</v>
      </c>
      <c r="M770" s="30" t="e">
        <v>#N/A</v>
      </c>
      <c r="N770" s="29" t="e">
        <f>NA()</f>
        <v>#N/A</v>
      </c>
      <c r="O770" s="29" t="e">
        <v>#N/A</v>
      </c>
      <c r="P770" s="51" t="e">
        <f t="shared" si="55"/>
        <v>#N/A</v>
      </c>
      <c r="Q770" s="29" t="e">
        <f>NA()</f>
        <v>#N/A</v>
      </c>
      <c r="R770" s="43" t="e">
        <v>#N/A</v>
      </c>
      <c r="S770" s="32" t="e">
        <f t="shared" si="58"/>
        <v>#N/A</v>
      </c>
      <c r="T770" s="54" t="e">
        <f>VLOOKUP(A770,[1]인포맥스!$A:$I,9,0)</f>
        <v>#N/A</v>
      </c>
      <c r="U770" s="70" t="e">
        <f t="shared" si="59"/>
        <v>#N/A</v>
      </c>
    </row>
    <row r="771" spans="1:21" x14ac:dyDescent="0.25">
      <c r="A771" s="3">
        <v>20971</v>
      </c>
      <c r="B771" s="29" t="e">
        <f>NA()</f>
        <v>#N/A</v>
      </c>
      <c r="C771" s="29" t="e">
        <v>#N/A</v>
      </c>
      <c r="D771" s="50">
        <f>43.4</f>
        <v>43.4</v>
      </c>
      <c r="E771" s="30">
        <v>43.4</v>
      </c>
      <c r="F771" s="29" t="e">
        <f>NA()</f>
        <v>#N/A</v>
      </c>
      <c r="G771" s="31" t="e">
        <v>#N/A</v>
      </c>
      <c r="H771" s="51" t="e">
        <f t="shared" si="56"/>
        <v>#N/A</v>
      </c>
      <c r="I771" s="29" t="e">
        <f>NA()</f>
        <v>#N/A</v>
      </c>
      <c r="J771" s="31" t="e">
        <v>#N/A</v>
      </c>
      <c r="K771" s="51" t="e">
        <f t="shared" si="57"/>
        <v>#N/A</v>
      </c>
      <c r="L771" s="29" t="e">
        <f>NA()</f>
        <v>#N/A</v>
      </c>
      <c r="M771" s="30" t="e">
        <v>#N/A</v>
      </c>
      <c r="N771" s="29" t="e">
        <f>NA()</f>
        <v>#N/A</v>
      </c>
      <c r="O771" s="29" t="e">
        <v>#N/A</v>
      </c>
      <c r="P771" s="51" t="e">
        <f t="shared" si="55"/>
        <v>#N/A</v>
      </c>
      <c r="Q771" s="29" t="e">
        <f>NA()</f>
        <v>#N/A</v>
      </c>
      <c r="R771" s="43" t="e">
        <v>#N/A</v>
      </c>
      <c r="S771" s="32" t="e">
        <f t="shared" si="58"/>
        <v>#N/A</v>
      </c>
      <c r="T771" s="54" t="e">
        <f>VLOOKUP(A771,[1]인포맥스!$A:$I,9,0)</f>
        <v>#N/A</v>
      </c>
      <c r="U771" s="70" t="e">
        <f t="shared" si="59"/>
        <v>#N/A</v>
      </c>
    </row>
    <row r="772" spans="1:21" x14ac:dyDescent="0.25">
      <c r="A772" s="3">
        <v>20940</v>
      </c>
      <c r="B772" s="29" t="e">
        <f>NA()</f>
        <v>#N/A</v>
      </c>
      <c r="C772" s="29" t="e">
        <v>#N/A</v>
      </c>
      <c r="D772" s="50">
        <f>43.1</f>
        <v>43.1</v>
      </c>
      <c r="E772" s="30">
        <v>43.1</v>
      </c>
      <c r="F772" s="29" t="e">
        <f>NA()</f>
        <v>#N/A</v>
      </c>
      <c r="G772" s="31" t="e">
        <v>#N/A</v>
      </c>
      <c r="H772" s="51" t="e">
        <f t="shared" si="56"/>
        <v>#N/A</v>
      </c>
      <c r="I772" s="29" t="e">
        <f>NA()</f>
        <v>#N/A</v>
      </c>
      <c r="J772" s="31" t="e">
        <v>#N/A</v>
      </c>
      <c r="K772" s="51" t="e">
        <f t="shared" si="57"/>
        <v>#N/A</v>
      </c>
      <c r="L772" s="29" t="e">
        <f>NA()</f>
        <v>#N/A</v>
      </c>
      <c r="M772" s="30" t="e">
        <v>#N/A</v>
      </c>
      <c r="N772" s="29" t="e">
        <f>NA()</f>
        <v>#N/A</v>
      </c>
      <c r="O772" s="29" t="e">
        <v>#N/A</v>
      </c>
      <c r="P772" s="51" t="e">
        <f t="shared" si="55"/>
        <v>#N/A</v>
      </c>
      <c r="Q772" s="29" t="e">
        <f>NA()</f>
        <v>#N/A</v>
      </c>
      <c r="R772" s="43" t="e">
        <v>#N/A</v>
      </c>
      <c r="S772" s="32" t="e">
        <f t="shared" si="58"/>
        <v>#N/A</v>
      </c>
      <c r="T772" s="54" t="e">
        <f>VLOOKUP(A772,[1]인포맥스!$A:$I,9,0)</f>
        <v>#N/A</v>
      </c>
      <c r="U772" s="70" t="e">
        <f t="shared" si="59"/>
        <v>#N/A</v>
      </c>
    </row>
    <row r="773" spans="1:21" x14ac:dyDescent="0.25">
      <c r="A773" s="3">
        <v>20910</v>
      </c>
      <c r="B773" s="29" t="e">
        <f>NA()</f>
        <v>#N/A</v>
      </c>
      <c r="C773" s="29" t="e">
        <v>#N/A</v>
      </c>
      <c r="D773" s="50">
        <f>47.5</f>
        <v>47.5</v>
      </c>
      <c r="E773" s="30">
        <v>47.5</v>
      </c>
      <c r="F773" s="29" t="e">
        <f>NA()</f>
        <v>#N/A</v>
      </c>
      <c r="G773" s="31" t="e">
        <v>#N/A</v>
      </c>
      <c r="H773" s="51" t="e">
        <f t="shared" si="56"/>
        <v>#N/A</v>
      </c>
      <c r="I773" s="29" t="e">
        <f>NA()</f>
        <v>#N/A</v>
      </c>
      <c r="J773" s="31" t="e">
        <v>#N/A</v>
      </c>
      <c r="K773" s="51" t="e">
        <f t="shared" si="57"/>
        <v>#N/A</v>
      </c>
      <c r="L773" s="29" t="e">
        <f>NA()</f>
        <v>#N/A</v>
      </c>
      <c r="M773" s="30" t="e">
        <v>#N/A</v>
      </c>
      <c r="N773" s="29" t="e">
        <f>NA()</f>
        <v>#N/A</v>
      </c>
      <c r="O773" s="29" t="e">
        <v>#N/A</v>
      </c>
      <c r="P773" s="51" t="e">
        <f t="shared" ref="P773:P836" si="60">(O773-O785)/O785</f>
        <v>#N/A</v>
      </c>
      <c r="Q773" s="29" t="e">
        <f>NA()</f>
        <v>#N/A</v>
      </c>
      <c r="R773" s="43" t="e">
        <v>#N/A</v>
      </c>
      <c r="S773" s="32" t="e">
        <f t="shared" si="58"/>
        <v>#N/A</v>
      </c>
      <c r="T773" s="54" t="e">
        <f>VLOOKUP(A773,[1]인포맥스!$A:$I,9,0)</f>
        <v>#N/A</v>
      </c>
      <c r="U773" s="70" t="e">
        <f t="shared" si="59"/>
        <v>#N/A</v>
      </c>
    </row>
    <row r="774" spans="1:21" x14ac:dyDescent="0.25">
      <c r="A774" s="3">
        <v>20879</v>
      </c>
      <c r="B774" s="29" t="e">
        <f>NA()</f>
        <v>#N/A</v>
      </c>
      <c r="C774" s="29" t="e">
        <v>#N/A</v>
      </c>
      <c r="D774" s="50">
        <f>51</f>
        <v>51</v>
      </c>
      <c r="E774" s="30">
        <v>51</v>
      </c>
      <c r="F774" s="29" t="e">
        <f>NA()</f>
        <v>#N/A</v>
      </c>
      <c r="G774" s="31" t="e">
        <v>#N/A</v>
      </c>
      <c r="H774" s="51" t="e">
        <f t="shared" ref="H774:H837" si="61">(G774-G786)/G786</f>
        <v>#N/A</v>
      </c>
      <c r="I774" s="29" t="e">
        <f>NA()</f>
        <v>#N/A</v>
      </c>
      <c r="J774" s="31" t="e">
        <v>#N/A</v>
      </c>
      <c r="K774" s="51" t="e">
        <f t="shared" ref="K774:K837" si="62">(J774-J786)/J786</f>
        <v>#N/A</v>
      </c>
      <c r="L774" s="29" t="e">
        <f>NA()</f>
        <v>#N/A</v>
      </c>
      <c r="M774" s="30" t="e">
        <v>#N/A</v>
      </c>
      <c r="N774" s="29" t="e">
        <f>NA()</f>
        <v>#N/A</v>
      </c>
      <c r="O774" s="29" t="e">
        <v>#N/A</v>
      </c>
      <c r="P774" s="51" t="e">
        <f t="shared" si="60"/>
        <v>#N/A</v>
      </c>
      <c r="Q774" s="29" t="e">
        <f>NA()</f>
        <v>#N/A</v>
      </c>
      <c r="R774" s="43" t="e">
        <v>#N/A</v>
      </c>
      <c r="S774" s="32" t="e">
        <f t="shared" ref="S774:S837" si="63">(R774-R786)/R786</f>
        <v>#N/A</v>
      </c>
      <c r="T774" s="54" t="e">
        <f>VLOOKUP(A774,[1]인포맥스!$A:$I,9,0)</f>
        <v>#N/A</v>
      </c>
      <c r="U774" s="70" t="e">
        <f t="shared" ref="U774:U837" si="64">(T774-T786)/T786</f>
        <v>#N/A</v>
      </c>
    </row>
    <row r="775" spans="1:21" x14ac:dyDescent="0.25">
      <c r="A775" s="3">
        <v>20851</v>
      </c>
      <c r="B775" s="29" t="e">
        <f>NA()</f>
        <v>#N/A</v>
      </c>
      <c r="C775" s="29" t="e">
        <v>#N/A</v>
      </c>
      <c r="D775" s="50">
        <f>53.6</f>
        <v>53.6</v>
      </c>
      <c r="E775" s="30">
        <v>53.6</v>
      </c>
      <c r="F775" s="29" t="e">
        <f>NA()</f>
        <v>#N/A</v>
      </c>
      <c r="G775" s="31" t="e">
        <v>#N/A</v>
      </c>
      <c r="H775" s="51" t="e">
        <f t="shared" si="61"/>
        <v>#N/A</v>
      </c>
      <c r="I775" s="29" t="e">
        <f>NA()</f>
        <v>#N/A</v>
      </c>
      <c r="J775" s="31" t="e">
        <v>#N/A</v>
      </c>
      <c r="K775" s="51" t="e">
        <f t="shared" si="62"/>
        <v>#N/A</v>
      </c>
      <c r="L775" s="29" t="e">
        <f>NA()</f>
        <v>#N/A</v>
      </c>
      <c r="M775" s="30" t="e">
        <v>#N/A</v>
      </c>
      <c r="N775" s="29" t="e">
        <f>NA()</f>
        <v>#N/A</v>
      </c>
      <c r="O775" s="29" t="e">
        <v>#N/A</v>
      </c>
      <c r="P775" s="51" t="e">
        <f t="shared" si="60"/>
        <v>#N/A</v>
      </c>
      <c r="Q775" s="29" t="e">
        <f>NA()</f>
        <v>#N/A</v>
      </c>
      <c r="R775" s="43" t="e">
        <v>#N/A</v>
      </c>
      <c r="S775" s="32" t="e">
        <f t="shared" si="63"/>
        <v>#N/A</v>
      </c>
      <c r="T775" s="54" t="e">
        <f>VLOOKUP(A775,[1]인포맥스!$A:$I,9,0)</f>
        <v>#N/A</v>
      </c>
      <c r="U775" s="70" t="e">
        <f t="shared" si="64"/>
        <v>#N/A</v>
      </c>
    </row>
    <row r="776" spans="1:21" x14ac:dyDescent="0.25">
      <c r="A776" s="3">
        <v>20820</v>
      </c>
      <c r="B776" s="29" t="e">
        <f>NA()</f>
        <v>#N/A</v>
      </c>
      <c r="C776" s="29" t="e">
        <v>#N/A</v>
      </c>
      <c r="D776" s="50">
        <f>52.7</f>
        <v>52.7</v>
      </c>
      <c r="E776" s="30">
        <v>52.7</v>
      </c>
      <c r="F776" s="29" t="e">
        <f>NA()</f>
        <v>#N/A</v>
      </c>
      <c r="G776" s="31" t="e">
        <v>#N/A</v>
      </c>
      <c r="H776" s="51" t="e">
        <f t="shared" si="61"/>
        <v>#N/A</v>
      </c>
      <c r="I776" s="29" t="e">
        <f>NA()</f>
        <v>#N/A</v>
      </c>
      <c r="J776" s="31" t="e">
        <v>#N/A</v>
      </c>
      <c r="K776" s="51" t="e">
        <f t="shared" si="62"/>
        <v>#N/A</v>
      </c>
      <c r="L776" s="29" t="e">
        <f>NA()</f>
        <v>#N/A</v>
      </c>
      <c r="M776" s="30" t="e">
        <v>#N/A</v>
      </c>
      <c r="N776" s="29" t="e">
        <f>NA()</f>
        <v>#N/A</v>
      </c>
      <c r="O776" s="29" t="e">
        <v>#N/A</v>
      </c>
      <c r="P776" s="51" t="e">
        <f t="shared" si="60"/>
        <v>#N/A</v>
      </c>
      <c r="Q776" s="29" t="e">
        <f>NA()</f>
        <v>#N/A</v>
      </c>
      <c r="R776" s="43" t="e">
        <v>#N/A</v>
      </c>
      <c r="S776" s="32" t="e">
        <f t="shared" si="63"/>
        <v>#N/A</v>
      </c>
      <c r="T776" s="54" t="e">
        <f>VLOOKUP(A776,[1]인포맥스!$A:$I,9,0)</f>
        <v>#N/A</v>
      </c>
      <c r="U776" s="70" t="e">
        <f t="shared" si="64"/>
        <v>#N/A</v>
      </c>
    </row>
    <row r="777" spans="1:21" x14ac:dyDescent="0.25">
      <c r="A777" s="3">
        <v>20789</v>
      </c>
      <c r="B777" s="29" t="e">
        <f>NA()</f>
        <v>#N/A</v>
      </c>
      <c r="C777" s="29" t="e">
        <v>#N/A</v>
      </c>
      <c r="D777" s="50">
        <f>55</f>
        <v>55</v>
      </c>
      <c r="E777" s="30">
        <v>55</v>
      </c>
      <c r="F777" s="29" t="e">
        <f>NA()</f>
        <v>#N/A</v>
      </c>
      <c r="G777" s="31" t="e">
        <v>#N/A</v>
      </c>
      <c r="H777" s="51" t="e">
        <f t="shared" si="61"/>
        <v>#N/A</v>
      </c>
      <c r="I777" s="29" t="e">
        <f>NA()</f>
        <v>#N/A</v>
      </c>
      <c r="J777" s="31" t="e">
        <v>#N/A</v>
      </c>
      <c r="K777" s="51" t="e">
        <f t="shared" si="62"/>
        <v>#N/A</v>
      </c>
      <c r="L777" s="29" t="e">
        <f>NA()</f>
        <v>#N/A</v>
      </c>
      <c r="M777" s="30" t="e">
        <v>#N/A</v>
      </c>
      <c r="N777" s="29" t="e">
        <f>NA()</f>
        <v>#N/A</v>
      </c>
      <c r="O777" s="29" t="e">
        <v>#N/A</v>
      </c>
      <c r="P777" s="51" t="e">
        <f t="shared" si="60"/>
        <v>#N/A</v>
      </c>
      <c r="Q777" s="29" t="e">
        <f>NA()</f>
        <v>#N/A</v>
      </c>
      <c r="R777" s="43" t="e">
        <v>#N/A</v>
      </c>
      <c r="S777" s="32" t="e">
        <f t="shared" si="63"/>
        <v>#N/A</v>
      </c>
      <c r="T777" s="54" t="e">
        <f>VLOOKUP(A777,[1]인포맥스!$A:$I,9,0)</f>
        <v>#N/A</v>
      </c>
      <c r="U777" s="70" t="e">
        <f t="shared" si="64"/>
        <v>#N/A</v>
      </c>
    </row>
    <row r="778" spans="1:21" x14ac:dyDescent="0.25">
      <c r="A778" s="3">
        <v>20759</v>
      </c>
      <c r="B778" s="29" t="e">
        <f>NA()</f>
        <v>#N/A</v>
      </c>
      <c r="C778" s="29" t="e">
        <v>#N/A</v>
      </c>
      <c r="D778" s="50">
        <f>52.7</f>
        <v>52.7</v>
      </c>
      <c r="E778" s="30">
        <v>52.7</v>
      </c>
      <c r="F778" s="29" t="e">
        <f>NA()</f>
        <v>#N/A</v>
      </c>
      <c r="G778" s="31" t="e">
        <v>#N/A</v>
      </c>
      <c r="H778" s="51" t="e">
        <f t="shared" si="61"/>
        <v>#N/A</v>
      </c>
      <c r="I778" s="29" t="e">
        <f>NA()</f>
        <v>#N/A</v>
      </c>
      <c r="J778" s="31" t="e">
        <v>#N/A</v>
      </c>
      <c r="K778" s="51" t="e">
        <f t="shared" si="62"/>
        <v>#N/A</v>
      </c>
      <c r="L778" s="29" t="e">
        <f>NA()</f>
        <v>#N/A</v>
      </c>
      <c r="M778" s="30" t="e">
        <v>#N/A</v>
      </c>
      <c r="N778" s="29" t="e">
        <f>NA()</f>
        <v>#N/A</v>
      </c>
      <c r="O778" s="29" t="e">
        <v>#N/A</v>
      </c>
      <c r="P778" s="51" t="e">
        <f t="shared" si="60"/>
        <v>#N/A</v>
      </c>
      <c r="Q778" s="29" t="e">
        <f>NA()</f>
        <v>#N/A</v>
      </c>
      <c r="R778" s="43" t="e">
        <v>#N/A</v>
      </c>
      <c r="S778" s="32" t="e">
        <f t="shared" si="63"/>
        <v>#N/A</v>
      </c>
      <c r="T778" s="54" t="e">
        <f>VLOOKUP(A778,[1]인포맥스!$A:$I,9,0)</f>
        <v>#N/A</v>
      </c>
      <c r="U778" s="70" t="e">
        <f t="shared" si="64"/>
        <v>#N/A</v>
      </c>
    </row>
    <row r="779" spans="1:21" x14ac:dyDescent="0.25">
      <c r="A779" s="3">
        <v>20728</v>
      </c>
      <c r="B779" s="29" t="e">
        <f>NA()</f>
        <v>#N/A</v>
      </c>
      <c r="C779" s="29" t="e">
        <v>#N/A</v>
      </c>
      <c r="D779" s="50">
        <f>55.5</f>
        <v>55.5</v>
      </c>
      <c r="E779" s="30">
        <v>55.5</v>
      </c>
      <c r="F779" s="29" t="e">
        <f>NA()</f>
        <v>#N/A</v>
      </c>
      <c r="G779" s="31" t="e">
        <v>#N/A</v>
      </c>
      <c r="H779" s="51" t="e">
        <f t="shared" si="61"/>
        <v>#N/A</v>
      </c>
      <c r="I779" s="29" t="e">
        <f>NA()</f>
        <v>#N/A</v>
      </c>
      <c r="J779" s="31" t="e">
        <v>#N/A</v>
      </c>
      <c r="K779" s="51" t="e">
        <f t="shared" si="62"/>
        <v>#N/A</v>
      </c>
      <c r="L779" s="29" t="e">
        <f>NA()</f>
        <v>#N/A</v>
      </c>
      <c r="M779" s="30" t="e">
        <v>#N/A</v>
      </c>
      <c r="N779" s="29" t="e">
        <f>NA()</f>
        <v>#N/A</v>
      </c>
      <c r="O779" s="29" t="e">
        <v>#N/A</v>
      </c>
      <c r="P779" s="51" t="e">
        <f t="shared" si="60"/>
        <v>#N/A</v>
      </c>
      <c r="Q779" s="29" t="e">
        <f>NA()</f>
        <v>#N/A</v>
      </c>
      <c r="R779" s="43" t="e">
        <v>#N/A</v>
      </c>
      <c r="S779" s="32" t="e">
        <f t="shared" si="63"/>
        <v>#N/A</v>
      </c>
      <c r="T779" s="54" t="e">
        <f>VLOOKUP(A779,[1]인포맥스!$A:$I,9,0)</f>
        <v>#N/A</v>
      </c>
      <c r="U779" s="70" t="e">
        <f t="shared" si="64"/>
        <v>#N/A</v>
      </c>
    </row>
    <row r="780" spans="1:21" x14ac:dyDescent="0.25">
      <c r="A780" s="3">
        <v>20698</v>
      </c>
      <c r="B780" s="29" t="e">
        <f>NA()</f>
        <v>#N/A</v>
      </c>
      <c r="C780" s="29" t="e">
        <v>#N/A</v>
      </c>
      <c r="D780" s="50">
        <f>51.5</f>
        <v>51.5</v>
      </c>
      <c r="E780" s="30">
        <v>51.5</v>
      </c>
      <c r="F780" s="29" t="e">
        <f>NA()</f>
        <v>#N/A</v>
      </c>
      <c r="G780" s="31" t="e">
        <v>#N/A</v>
      </c>
      <c r="H780" s="51" t="e">
        <f t="shared" si="61"/>
        <v>#N/A</v>
      </c>
      <c r="I780" s="29" t="e">
        <f>NA()</f>
        <v>#N/A</v>
      </c>
      <c r="J780" s="31" t="e">
        <v>#N/A</v>
      </c>
      <c r="K780" s="51" t="e">
        <f t="shared" si="62"/>
        <v>#N/A</v>
      </c>
      <c r="L780" s="29" t="e">
        <f>NA()</f>
        <v>#N/A</v>
      </c>
      <c r="M780" s="30" t="e">
        <v>#N/A</v>
      </c>
      <c r="N780" s="29" t="e">
        <f>NA()</f>
        <v>#N/A</v>
      </c>
      <c r="O780" s="29" t="e">
        <v>#N/A</v>
      </c>
      <c r="P780" s="51" t="e">
        <f t="shared" si="60"/>
        <v>#N/A</v>
      </c>
      <c r="Q780" s="29" t="e">
        <f>NA()</f>
        <v>#N/A</v>
      </c>
      <c r="R780" s="43" t="e">
        <v>#N/A</v>
      </c>
      <c r="S780" s="32" t="e">
        <f t="shared" si="63"/>
        <v>#N/A</v>
      </c>
      <c r="T780" s="54" t="e">
        <f>VLOOKUP(A780,[1]인포맥스!$A:$I,9,0)</f>
        <v>#N/A</v>
      </c>
      <c r="U780" s="70" t="e">
        <f t="shared" si="64"/>
        <v>#N/A</v>
      </c>
    </row>
    <row r="781" spans="1:21" x14ac:dyDescent="0.25">
      <c r="A781" s="3">
        <v>20667</v>
      </c>
      <c r="B781" s="29" t="e">
        <f>NA()</f>
        <v>#N/A</v>
      </c>
      <c r="C781" s="29" t="e">
        <v>#N/A</v>
      </c>
      <c r="D781" s="50">
        <f>44.2</f>
        <v>44.2</v>
      </c>
      <c r="E781" s="30">
        <v>44.2</v>
      </c>
      <c r="F781" s="29" t="e">
        <f>NA()</f>
        <v>#N/A</v>
      </c>
      <c r="G781" s="31" t="e">
        <v>#N/A</v>
      </c>
      <c r="H781" s="51" t="e">
        <f t="shared" si="61"/>
        <v>#N/A</v>
      </c>
      <c r="I781" s="29" t="e">
        <f>NA()</f>
        <v>#N/A</v>
      </c>
      <c r="J781" s="31" t="e">
        <v>#N/A</v>
      </c>
      <c r="K781" s="51" t="e">
        <f t="shared" si="62"/>
        <v>#N/A</v>
      </c>
      <c r="L781" s="29" t="e">
        <f>NA()</f>
        <v>#N/A</v>
      </c>
      <c r="M781" s="30" t="e">
        <v>#N/A</v>
      </c>
      <c r="N781" s="29" t="e">
        <f>NA()</f>
        <v>#N/A</v>
      </c>
      <c r="O781" s="29" t="e">
        <v>#N/A</v>
      </c>
      <c r="P781" s="51" t="e">
        <f t="shared" si="60"/>
        <v>#N/A</v>
      </c>
      <c r="Q781" s="29" t="e">
        <f>NA()</f>
        <v>#N/A</v>
      </c>
      <c r="R781" s="43" t="e">
        <v>#N/A</v>
      </c>
      <c r="S781" s="32" t="e">
        <f t="shared" si="63"/>
        <v>#N/A</v>
      </c>
      <c r="T781" s="54" t="e">
        <f>VLOOKUP(A781,[1]인포맥스!$A:$I,9,0)</f>
        <v>#N/A</v>
      </c>
      <c r="U781" s="70" t="e">
        <f t="shared" si="64"/>
        <v>#N/A</v>
      </c>
    </row>
    <row r="782" spans="1:21" x14ac:dyDescent="0.25">
      <c r="A782" s="3">
        <v>20636</v>
      </c>
      <c r="B782" s="29" t="e">
        <f>NA()</f>
        <v>#N/A</v>
      </c>
      <c r="C782" s="29" t="e">
        <v>#N/A</v>
      </c>
      <c r="D782" s="50">
        <f>47.7</f>
        <v>47.7</v>
      </c>
      <c r="E782" s="30">
        <v>47.7</v>
      </c>
      <c r="F782" s="29" t="e">
        <f>NA()</f>
        <v>#N/A</v>
      </c>
      <c r="G782" s="31" t="e">
        <v>#N/A</v>
      </c>
      <c r="H782" s="51" t="e">
        <f t="shared" si="61"/>
        <v>#N/A</v>
      </c>
      <c r="I782" s="29" t="e">
        <f>NA()</f>
        <v>#N/A</v>
      </c>
      <c r="J782" s="31" t="e">
        <v>#N/A</v>
      </c>
      <c r="K782" s="51" t="e">
        <f t="shared" si="62"/>
        <v>#N/A</v>
      </c>
      <c r="L782" s="29" t="e">
        <f>NA()</f>
        <v>#N/A</v>
      </c>
      <c r="M782" s="30" t="e">
        <v>#N/A</v>
      </c>
      <c r="N782" s="29" t="e">
        <f>NA()</f>
        <v>#N/A</v>
      </c>
      <c r="O782" s="29" t="e">
        <v>#N/A</v>
      </c>
      <c r="P782" s="51" t="e">
        <f t="shared" si="60"/>
        <v>#N/A</v>
      </c>
      <c r="Q782" s="29" t="e">
        <f>NA()</f>
        <v>#N/A</v>
      </c>
      <c r="R782" s="43" t="e">
        <v>#N/A</v>
      </c>
      <c r="S782" s="32" t="e">
        <f t="shared" si="63"/>
        <v>#N/A</v>
      </c>
      <c r="T782" s="54" t="e">
        <f>VLOOKUP(A782,[1]인포맥스!$A:$I,9,0)</f>
        <v>#N/A</v>
      </c>
      <c r="U782" s="70" t="e">
        <f t="shared" si="64"/>
        <v>#N/A</v>
      </c>
    </row>
    <row r="783" spans="1:21" x14ac:dyDescent="0.25">
      <c r="A783" s="3">
        <v>20606</v>
      </c>
      <c r="B783" s="29" t="e">
        <f>NA()</f>
        <v>#N/A</v>
      </c>
      <c r="C783" s="29" t="e">
        <v>#N/A</v>
      </c>
      <c r="D783" s="50">
        <f>51.2</f>
        <v>51.2</v>
      </c>
      <c r="E783" s="30">
        <v>51.2</v>
      </c>
      <c r="F783" s="29" t="e">
        <f>NA()</f>
        <v>#N/A</v>
      </c>
      <c r="G783" s="31" t="e">
        <v>#N/A</v>
      </c>
      <c r="H783" s="51" t="e">
        <f t="shared" si="61"/>
        <v>#N/A</v>
      </c>
      <c r="I783" s="29" t="e">
        <f>NA()</f>
        <v>#N/A</v>
      </c>
      <c r="J783" s="31" t="e">
        <v>#N/A</v>
      </c>
      <c r="K783" s="51" t="e">
        <f t="shared" si="62"/>
        <v>#N/A</v>
      </c>
      <c r="L783" s="29" t="e">
        <f>NA()</f>
        <v>#N/A</v>
      </c>
      <c r="M783" s="30" t="e">
        <v>#N/A</v>
      </c>
      <c r="N783" s="29" t="e">
        <f>NA()</f>
        <v>#N/A</v>
      </c>
      <c r="O783" s="29" t="e">
        <v>#N/A</v>
      </c>
      <c r="P783" s="51" t="e">
        <f t="shared" si="60"/>
        <v>#N/A</v>
      </c>
      <c r="Q783" s="29" t="e">
        <f>NA()</f>
        <v>#N/A</v>
      </c>
      <c r="R783" s="43" t="e">
        <v>#N/A</v>
      </c>
      <c r="S783" s="32" t="e">
        <f t="shared" si="63"/>
        <v>#N/A</v>
      </c>
      <c r="T783" s="54" t="e">
        <f>VLOOKUP(A783,[1]인포맥스!$A:$I,9,0)</f>
        <v>#N/A</v>
      </c>
      <c r="U783" s="70" t="e">
        <f t="shared" si="64"/>
        <v>#N/A</v>
      </c>
    </row>
    <row r="784" spans="1:21" x14ac:dyDescent="0.25">
      <c r="A784" s="3">
        <v>20575</v>
      </c>
      <c r="B784" s="29" t="e">
        <f>NA()</f>
        <v>#N/A</v>
      </c>
      <c r="C784" s="29" t="e">
        <v>#N/A</v>
      </c>
      <c r="D784" s="50">
        <f>55.9</f>
        <v>55.9</v>
      </c>
      <c r="E784" s="30">
        <v>55.9</v>
      </c>
      <c r="F784" s="29" t="e">
        <f>NA()</f>
        <v>#N/A</v>
      </c>
      <c r="G784" s="31" t="e">
        <v>#N/A</v>
      </c>
      <c r="H784" s="51" t="e">
        <f t="shared" si="61"/>
        <v>#N/A</v>
      </c>
      <c r="I784" s="29" t="e">
        <f>NA()</f>
        <v>#N/A</v>
      </c>
      <c r="J784" s="31" t="e">
        <v>#N/A</v>
      </c>
      <c r="K784" s="51" t="e">
        <f t="shared" si="62"/>
        <v>#N/A</v>
      </c>
      <c r="L784" s="29" t="e">
        <f>NA()</f>
        <v>#N/A</v>
      </c>
      <c r="M784" s="30" t="e">
        <v>#N/A</v>
      </c>
      <c r="N784" s="29" t="e">
        <f>NA()</f>
        <v>#N/A</v>
      </c>
      <c r="O784" s="29" t="e">
        <v>#N/A</v>
      </c>
      <c r="P784" s="51" t="e">
        <f t="shared" si="60"/>
        <v>#N/A</v>
      </c>
      <c r="Q784" s="29" t="e">
        <f>NA()</f>
        <v>#N/A</v>
      </c>
      <c r="R784" s="43" t="e">
        <v>#N/A</v>
      </c>
      <c r="S784" s="32" t="e">
        <f t="shared" si="63"/>
        <v>#N/A</v>
      </c>
      <c r="T784" s="54" t="e">
        <f>VLOOKUP(A784,[1]인포맥스!$A:$I,9,0)</f>
        <v>#N/A</v>
      </c>
      <c r="U784" s="70" t="e">
        <f t="shared" si="64"/>
        <v>#N/A</v>
      </c>
    </row>
    <row r="785" spans="1:21" x14ac:dyDescent="0.25">
      <c r="A785" s="3">
        <v>20545</v>
      </c>
      <c r="B785" s="29" t="e">
        <f>NA()</f>
        <v>#N/A</v>
      </c>
      <c r="C785" s="29" t="e">
        <v>#N/A</v>
      </c>
      <c r="D785" s="50">
        <f>57.2</f>
        <v>57.2</v>
      </c>
      <c r="E785" s="30">
        <v>57.2</v>
      </c>
      <c r="F785" s="29" t="e">
        <f>NA()</f>
        <v>#N/A</v>
      </c>
      <c r="G785" s="31" t="e">
        <v>#N/A</v>
      </c>
      <c r="H785" s="51" t="e">
        <f t="shared" si="61"/>
        <v>#N/A</v>
      </c>
      <c r="I785" s="29" t="e">
        <f>NA()</f>
        <v>#N/A</v>
      </c>
      <c r="J785" s="31" t="e">
        <v>#N/A</v>
      </c>
      <c r="K785" s="51" t="e">
        <f t="shared" si="62"/>
        <v>#N/A</v>
      </c>
      <c r="L785" s="29" t="e">
        <f>NA()</f>
        <v>#N/A</v>
      </c>
      <c r="M785" s="30" t="e">
        <v>#N/A</v>
      </c>
      <c r="N785" s="29" t="e">
        <f>NA()</f>
        <v>#N/A</v>
      </c>
      <c r="O785" s="29" t="e">
        <v>#N/A</v>
      </c>
      <c r="P785" s="51" t="e">
        <f t="shared" si="60"/>
        <v>#N/A</v>
      </c>
      <c r="Q785" s="29" t="e">
        <f>NA()</f>
        <v>#N/A</v>
      </c>
      <c r="R785" s="43" t="e">
        <v>#N/A</v>
      </c>
      <c r="S785" s="32" t="e">
        <f t="shared" si="63"/>
        <v>#N/A</v>
      </c>
      <c r="T785" s="54" t="e">
        <f>VLOOKUP(A785,[1]인포맥스!$A:$I,9,0)</f>
        <v>#N/A</v>
      </c>
      <c r="U785" s="70" t="e">
        <f t="shared" si="64"/>
        <v>#N/A</v>
      </c>
    </row>
    <row r="786" spans="1:21" x14ac:dyDescent="0.25">
      <c r="A786" s="3">
        <v>20514</v>
      </c>
      <c r="B786" s="29" t="e">
        <f>NA()</f>
        <v>#N/A</v>
      </c>
      <c r="C786" s="29" t="e">
        <v>#N/A</v>
      </c>
      <c r="D786" s="50">
        <f>58.2</f>
        <v>58.2</v>
      </c>
      <c r="E786" s="30">
        <v>58.2</v>
      </c>
      <c r="F786" s="29" t="e">
        <f>NA()</f>
        <v>#N/A</v>
      </c>
      <c r="G786" s="31" t="e">
        <v>#N/A</v>
      </c>
      <c r="H786" s="51" t="e">
        <f t="shared" si="61"/>
        <v>#N/A</v>
      </c>
      <c r="I786" s="29" t="e">
        <f>NA()</f>
        <v>#N/A</v>
      </c>
      <c r="J786" s="31" t="e">
        <v>#N/A</v>
      </c>
      <c r="K786" s="51" t="e">
        <f t="shared" si="62"/>
        <v>#N/A</v>
      </c>
      <c r="L786" s="29" t="e">
        <f>NA()</f>
        <v>#N/A</v>
      </c>
      <c r="M786" s="30" t="e">
        <v>#N/A</v>
      </c>
      <c r="N786" s="29" t="e">
        <f>NA()</f>
        <v>#N/A</v>
      </c>
      <c r="O786" s="29" t="e">
        <v>#N/A</v>
      </c>
      <c r="P786" s="51" t="e">
        <f t="shared" si="60"/>
        <v>#N/A</v>
      </c>
      <c r="Q786" s="29" t="e">
        <f>NA()</f>
        <v>#N/A</v>
      </c>
      <c r="R786" s="43" t="e">
        <v>#N/A</v>
      </c>
      <c r="S786" s="32" t="e">
        <f t="shared" si="63"/>
        <v>#N/A</v>
      </c>
      <c r="T786" s="54" t="e">
        <f>VLOOKUP(A786,[1]인포맥스!$A:$I,9,0)</f>
        <v>#N/A</v>
      </c>
      <c r="U786" s="70" t="e">
        <f t="shared" si="64"/>
        <v>#N/A</v>
      </c>
    </row>
    <row r="787" spans="1:21" x14ac:dyDescent="0.25">
      <c r="A787" s="3">
        <v>20485</v>
      </c>
      <c r="B787" s="29" t="e">
        <f>NA()</f>
        <v>#N/A</v>
      </c>
      <c r="C787" s="29" t="e">
        <v>#N/A</v>
      </c>
      <c r="D787" s="50">
        <f>60.2</f>
        <v>60.2</v>
      </c>
      <c r="E787" s="30">
        <v>60.2</v>
      </c>
      <c r="F787" s="29" t="e">
        <f>NA()</f>
        <v>#N/A</v>
      </c>
      <c r="G787" s="31" t="e">
        <v>#N/A</v>
      </c>
      <c r="H787" s="51" t="e">
        <f t="shared" si="61"/>
        <v>#N/A</v>
      </c>
      <c r="I787" s="29" t="e">
        <f>NA()</f>
        <v>#N/A</v>
      </c>
      <c r="J787" s="31" t="e">
        <v>#N/A</v>
      </c>
      <c r="K787" s="51" t="e">
        <f t="shared" si="62"/>
        <v>#N/A</v>
      </c>
      <c r="L787" s="29" t="e">
        <f>NA()</f>
        <v>#N/A</v>
      </c>
      <c r="M787" s="30" t="e">
        <v>#N/A</v>
      </c>
      <c r="N787" s="29" t="e">
        <f>NA()</f>
        <v>#N/A</v>
      </c>
      <c r="O787" s="29" t="e">
        <v>#N/A</v>
      </c>
      <c r="P787" s="51" t="e">
        <f t="shared" si="60"/>
        <v>#N/A</v>
      </c>
      <c r="Q787" s="29" t="e">
        <f>NA()</f>
        <v>#N/A</v>
      </c>
      <c r="R787" s="43" t="e">
        <v>#N/A</v>
      </c>
      <c r="S787" s="32" t="e">
        <f t="shared" si="63"/>
        <v>#N/A</v>
      </c>
      <c r="T787" s="54" t="e">
        <f>VLOOKUP(A787,[1]인포맥스!$A:$I,9,0)</f>
        <v>#N/A</v>
      </c>
      <c r="U787" s="70" t="e">
        <f t="shared" si="64"/>
        <v>#N/A</v>
      </c>
    </row>
    <row r="788" spans="1:21" x14ac:dyDescent="0.25">
      <c r="A788" s="3">
        <v>20454</v>
      </c>
      <c r="B788" s="29" t="e">
        <f>NA()</f>
        <v>#N/A</v>
      </c>
      <c r="C788" s="29" t="e">
        <v>#N/A</v>
      </c>
      <c r="D788" s="50">
        <f>65.6</f>
        <v>65.599999999999994</v>
      </c>
      <c r="E788" s="30">
        <v>65.599999999999994</v>
      </c>
      <c r="F788" s="29" t="e">
        <f>NA()</f>
        <v>#N/A</v>
      </c>
      <c r="G788" s="31" t="e">
        <v>#N/A</v>
      </c>
      <c r="H788" s="51" t="e">
        <f t="shared" si="61"/>
        <v>#N/A</v>
      </c>
      <c r="I788" s="29" t="e">
        <f>NA()</f>
        <v>#N/A</v>
      </c>
      <c r="J788" s="31" t="e">
        <v>#N/A</v>
      </c>
      <c r="K788" s="51" t="e">
        <f t="shared" si="62"/>
        <v>#N/A</v>
      </c>
      <c r="L788" s="29" t="e">
        <f>NA()</f>
        <v>#N/A</v>
      </c>
      <c r="M788" s="30" t="e">
        <v>#N/A</v>
      </c>
      <c r="N788" s="29" t="e">
        <f>NA()</f>
        <v>#N/A</v>
      </c>
      <c r="O788" s="29" t="e">
        <v>#N/A</v>
      </c>
      <c r="P788" s="51" t="e">
        <f t="shared" si="60"/>
        <v>#N/A</v>
      </c>
      <c r="Q788" s="29" t="e">
        <f>NA()</f>
        <v>#N/A</v>
      </c>
      <c r="R788" s="43" t="e">
        <v>#N/A</v>
      </c>
      <c r="S788" s="32" t="e">
        <f t="shared" si="63"/>
        <v>#N/A</v>
      </c>
      <c r="T788" s="54" t="e">
        <f>VLOOKUP(A788,[1]인포맥스!$A:$I,9,0)</f>
        <v>#N/A</v>
      </c>
      <c r="U788" s="70" t="e">
        <f t="shared" si="64"/>
        <v>#N/A</v>
      </c>
    </row>
    <row r="789" spans="1:21" x14ac:dyDescent="0.25">
      <c r="A789" s="3">
        <v>20423</v>
      </c>
      <c r="B789" s="29" t="e">
        <f>NA()</f>
        <v>#N/A</v>
      </c>
      <c r="C789" s="29" t="e">
        <v>#N/A</v>
      </c>
      <c r="D789" s="50">
        <f>62</f>
        <v>62</v>
      </c>
      <c r="E789" s="30">
        <v>62</v>
      </c>
      <c r="F789" s="29" t="e">
        <f>NA()</f>
        <v>#N/A</v>
      </c>
      <c r="G789" s="31" t="e">
        <v>#N/A</v>
      </c>
      <c r="H789" s="51" t="e">
        <f t="shared" si="61"/>
        <v>#N/A</v>
      </c>
      <c r="I789" s="29" t="e">
        <f>NA()</f>
        <v>#N/A</v>
      </c>
      <c r="J789" s="31" t="e">
        <v>#N/A</v>
      </c>
      <c r="K789" s="51" t="e">
        <f t="shared" si="62"/>
        <v>#N/A</v>
      </c>
      <c r="L789" s="29" t="e">
        <f>NA()</f>
        <v>#N/A</v>
      </c>
      <c r="M789" s="30" t="e">
        <v>#N/A</v>
      </c>
      <c r="N789" s="29" t="e">
        <f>NA()</f>
        <v>#N/A</v>
      </c>
      <c r="O789" s="29" t="e">
        <v>#N/A</v>
      </c>
      <c r="P789" s="51" t="e">
        <f t="shared" si="60"/>
        <v>#N/A</v>
      </c>
      <c r="Q789" s="29" t="e">
        <f>NA()</f>
        <v>#N/A</v>
      </c>
      <c r="R789" s="43" t="e">
        <v>#N/A</v>
      </c>
      <c r="S789" s="32" t="e">
        <f t="shared" si="63"/>
        <v>#N/A</v>
      </c>
      <c r="T789" s="54" t="e">
        <f>VLOOKUP(A789,[1]인포맥스!$A:$I,9,0)</f>
        <v>#N/A</v>
      </c>
      <c r="U789" s="70" t="e">
        <f t="shared" si="64"/>
        <v>#N/A</v>
      </c>
    </row>
    <row r="790" spans="1:21" x14ac:dyDescent="0.25">
      <c r="A790" s="3">
        <v>20393</v>
      </c>
      <c r="B790" s="29" t="e">
        <f>NA()</f>
        <v>#N/A</v>
      </c>
      <c r="C790" s="29" t="e">
        <v>#N/A</v>
      </c>
      <c r="D790" s="50">
        <f>63.7</f>
        <v>63.7</v>
      </c>
      <c r="E790" s="30">
        <v>63.7</v>
      </c>
      <c r="F790" s="29" t="e">
        <f>NA()</f>
        <v>#N/A</v>
      </c>
      <c r="G790" s="31" t="e">
        <v>#N/A</v>
      </c>
      <c r="H790" s="51" t="e">
        <f t="shared" si="61"/>
        <v>#N/A</v>
      </c>
      <c r="I790" s="29" t="e">
        <f>NA()</f>
        <v>#N/A</v>
      </c>
      <c r="J790" s="31" t="e">
        <v>#N/A</v>
      </c>
      <c r="K790" s="51" t="e">
        <f t="shared" si="62"/>
        <v>#N/A</v>
      </c>
      <c r="L790" s="29" t="e">
        <f>NA()</f>
        <v>#N/A</v>
      </c>
      <c r="M790" s="30" t="e">
        <v>#N/A</v>
      </c>
      <c r="N790" s="29" t="e">
        <f>NA()</f>
        <v>#N/A</v>
      </c>
      <c r="O790" s="29" t="e">
        <v>#N/A</v>
      </c>
      <c r="P790" s="51" t="e">
        <f t="shared" si="60"/>
        <v>#N/A</v>
      </c>
      <c r="Q790" s="29" t="e">
        <f>NA()</f>
        <v>#N/A</v>
      </c>
      <c r="R790" s="43" t="e">
        <v>#N/A</v>
      </c>
      <c r="S790" s="32" t="e">
        <f t="shared" si="63"/>
        <v>#N/A</v>
      </c>
      <c r="T790" s="54" t="e">
        <f>VLOOKUP(A790,[1]인포맥스!$A:$I,9,0)</f>
        <v>#N/A</v>
      </c>
      <c r="U790" s="70" t="e">
        <f t="shared" si="64"/>
        <v>#N/A</v>
      </c>
    </row>
    <row r="791" spans="1:21" x14ac:dyDescent="0.25">
      <c r="A791" s="3">
        <v>20362</v>
      </c>
      <c r="B791" s="29" t="e">
        <f>NA()</f>
        <v>#N/A</v>
      </c>
      <c r="C791" s="29" t="e">
        <v>#N/A</v>
      </c>
      <c r="D791" s="50">
        <f>62.4</f>
        <v>62.4</v>
      </c>
      <c r="E791" s="30">
        <v>62.4</v>
      </c>
      <c r="F791" s="29" t="e">
        <f>NA()</f>
        <v>#N/A</v>
      </c>
      <c r="G791" s="31" t="e">
        <v>#N/A</v>
      </c>
      <c r="H791" s="51" t="e">
        <f t="shared" si="61"/>
        <v>#N/A</v>
      </c>
      <c r="I791" s="29" t="e">
        <f>NA()</f>
        <v>#N/A</v>
      </c>
      <c r="J791" s="31" t="e">
        <v>#N/A</v>
      </c>
      <c r="K791" s="51" t="e">
        <f t="shared" si="62"/>
        <v>#N/A</v>
      </c>
      <c r="L791" s="29" t="e">
        <f>NA()</f>
        <v>#N/A</v>
      </c>
      <c r="M791" s="30" t="e">
        <v>#N/A</v>
      </c>
      <c r="N791" s="29" t="e">
        <f>NA()</f>
        <v>#N/A</v>
      </c>
      <c r="O791" s="29" t="e">
        <v>#N/A</v>
      </c>
      <c r="P791" s="51" t="e">
        <f t="shared" si="60"/>
        <v>#N/A</v>
      </c>
      <c r="Q791" s="29" t="e">
        <f>NA()</f>
        <v>#N/A</v>
      </c>
      <c r="R791" s="43" t="e">
        <v>#N/A</v>
      </c>
      <c r="S791" s="32" t="e">
        <f t="shared" si="63"/>
        <v>#N/A</v>
      </c>
      <c r="T791" s="54" t="e">
        <f>VLOOKUP(A791,[1]인포맥스!$A:$I,9,0)</f>
        <v>#N/A</v>
      </c>
      <c r="U791" s="70" t="e">
        <f t="shared" si="64"/>
        <v>#N/A</v>
      </c>
    </row>
    <row r="792" spans="1:21" x14ac:dyDescent="0.25">
      <c r="A792" s="3">
        <v>20332</v>
      </c>
      <c r="B792" s="29" t="e">
        <f>NA()</f>
        <v>#N/A</v>
      </c>
      <c r="C792" s="29" t="e">
        <v>#N/A</v>
      </c>
      <c r="D792" s="50">
        <f>64.8</f>
        <v>64.8</v>
      </c>
      <c r="E792" s="30">
        <v>64.8</v>
      </c>
      <c r="F792" s="29" t="e">
        <f>NA()</f>
        <v>#N/A</v>
      </c>
      <c r="G792" s="31" t="e">
        <v>#N/A</v>
      </c>
      <c r="H792" s="51" t="e">
        <f t="shared" si="61"/>
        <v>#N/A</v>
      </c>
      <c r="I792" s="29" t="e">
        <f>NA()</f>
        <v>#N/A</v>
      </c>
      <c r="J792" s="31" t="e">
        <v>#N/A</v>
      </c>
      <c r="K792" s="51" t="e">
        <f t="shared" si="62"/>
        <v>#N/A</v>
      </c>
      <c r="L792" s="29" t="e">
        <f>NA()</f>
        <v>#N/A</v>
      </c>
      <c r="M792" s="30" t="e">
        <v>#N/A</v>
      </c>
      <c r="N792" s="29" t="e">
        <f>NA()</f>
        <v>#N/A</v>
      </c>
      <c r="O792" s="29" t="e">
        <v>#N/A</v>
      </c>
      <c r="P792" s="51" t="e">
        <f t="shared" si="60"/>
        <v>#N/A</v>
      </c>
      <c r="Q792" s="29" t="e">
        <f>NA()</f>
        <v>#N/A</v>
      </c>
      <c r="R792" s="43" t="e">
        <v>#N/A</v>
      </c>
      <c r="S792" s="32" t="e">
        <f t="shared" si="63"/>
        <v>#N/A</v>
      </c>
      <c r="T792" s="54" t="e">
        <f>VLOOKUP(A792,[1]인포맥스!$A:$I,9,0)</f>
        <v>#N/A</v>
      </c>
      <c r="U792" s="70" t="e">
        <f t="shared" si="64"/>
        <v>#N/A</v>
      </c>
    </row>
    <row r="793" spans="1:21" x14ac:dyDescent="0.25">
      <c r="A793" s="3">
        <v>20301</v>
      </c>
      <c r="B793" s="29" t="e">
        <f>NA()</f>
        <v>#N/A</v>
      </c>
      <c r="C793" s="29" t="e">
        <v>#N/A</v>
      </c>
      <c r="D793" s="50">
        <f>66.2</f>
        <v>66.2</v>
      </c>
      <c r="E793" s="30">
        <v>66.2</v>
      </c>
      <c r="F793" s="29" t="e">
        <f>NA()</f>
        <v>#N/A</v>
      </c>
      <c r="G793" s="31" t="e">
        <v>#N/A</v>
      </c>
      <c r="H793" s="51" t="e">
        <f t="shared" si="61"/>
        <v>#N/A</v>
      </c>
      <c r="I793" s="29" t="e">
        <f>NA()</f>
        <v>#N/A</v>
      </c>
      <c r="J793" s="31" t="e">
        <v>#N/A</v>
      </c>
      <c r="K793" s="51" t="e">
        <f t="shared" si="62"/>
        <v>#N/A</v>
      </c>
      <c r="L793" s="29" t="e">
        <f>NA()</f>
        <v>#N/A</v>
      </c>
      <c r="M793" s="30" t="e">
        <v>#N/A</v>
      </c>
      <c r="N793" s="29" t="e">
        <f>NA()</f>
        <v>#N/A</v>
      </c>
      <c r="O793" s="29" t="e">
        <v>#N/A</v>
      </c>
      <c r="P793" s="51" t="e">
        <f t="shared" si="60"/>
        <v>#N/A</v>
      </c>
      <c r="Q793" s="29" t="e">
        <f>NA()</f>
        <v>#N/A</v>
      </c>
      <c r="R793" s="43" t="e">
        <v>#N/A</v>
      </c>
      <c r="S793" s="32" t="e">
        <f t="shared" si="63"/>
        <v>#N/A</v>
      </c>
      <c r="T793" s="54" t="e">
        <f>VLOOKUP(A793,[1]인포맥스!$A:$I,9,0)</f>
        <v>#N/A</v>
      </c>
      <c r="U793" s="70" t="e">
        <f t="shared" si="64"/>
        <v>#N/A</v>
      </c>
    </row>
    <row r="794" spans="1:21" x14ac:dyDescent="0.25">
      <c r="A794" s="3">
        <v>20270</v>
      </c>
      <c r="B794" s="29" t="e">
        <f>NA()</f>
        <v>#N/A</v>
      </c>
      <c r="C794" s="29" t="e">
        <v>#N/A</v>
      </c>
      <c r="D794" s="50">
        <f>63.3</f>
        <v>63.3</v>
      </c>
      <c r="E794" s="30">
        <v>63.3</v>
      </c>
      <c r="F794" s="29" t="e">
        <f>NA()</f>
        <v>#N/A</v>
      </c>
      <c r="G794" s="31" t="e">
        <v>#N/A</v>
      </c>
      <c r="H794" s="51" t="e">
        <f t="shared" si="61"/>
        <v>#N/A</v>
      </c>
      <c r="I794" s="29" t="e">
        <f>NA()</f>
        <v>#N/A</v>
      </c>
      <c r="J794" s="31" t="e">
        <v>#N/A</v>
      </c>
      <c r="K794" s="51" t="e">
        <f t="shared" si="62"/>
        <v>#N/A</v>
      </c>
      <c r="L794" s="29" t="e">
        <f>NA()</f>
        <v>#N/A</v>
      </c>
      <c r="M794" s="30" t="e">
        <v>#N/A</v>
      </c>
      <c r="N794" s="29" t="e">
        <f>NA()</f>
        <v>#N/A</v>
      </c>
      <c r="O794" s="29" t="e">
        <v>#N/A</v>
      </c>
      <c r="P794" s="51" t="e">
        <f t="shared" si="60"/>
        <v>#N/A</v>
      </c>
      <c r="Q794" s="29" t="e">
        <f>NA()</f>
        <v>#N/A</v>
      </c>
      <c r="R794" s="43" t="e">
        <v>#N/A</v>
      </c>
      <c r="S794" s="32" t="e">
        <f t="shared" si="63"/>
        <v>#N/A</v>
      </c>
      <c r="T794" s="54" t="e">
        <f>VLOOKUP(A794,[1]인포맥스!$A:$I,9,0)</f>
        <v>#N/A</v>
      </c>
      <c r="U794" s="70" t="e">
        <f t="shared" si="64"/>
        <v>#N/A</v>
      </c>
    </row>
    <row r="795" spans="1:21" x14ac:dyDescent="0.25">
      <c r="A795" s="3">
        <v>20240</v>
      </c>
      <c r="B795" s="29" t="e">
        <f>NA()</f>
        <v>#N/A</v>
      </c>
      <c r="C795" s="29" t="e">
        <v>#N/A</v>
      </c>
      <c r="D795" s="50">
        <f>69.5</f>
        <v>69.5</v>
      </c>
      <c r="E795" s="30">
        <v>69.5</v>
      </c>
      <c r="F795" s="29" t="e">
        <f>NA()</f>
        <v>#N/A</v>
      </c>
      <c r="G795" s="31" t="e">
        <v>#N/A</v>
      </c>
      <c r="H795" s="51" t="e">
        <f t="shared" si="61"/>
        <v>#N/A</v>
      </c>
      <c r="I795" s="29" t="e">
        <f>NA()</f>
        <v>#N/A</v>
      </c>
      <c r="J795" s="31" t="e">
        <v>#N/A</v>
      </c>
      <c r="K795" s="51" t="e">
        <f t="shared" si="62"/>
        <v>#N/A</v>
      </c>
      <c r="L795" s="29" t="e">
        <f>NA()</f>
        <v>#N/A</v>
      </c>
      <c r="M795" s="30" t="e">
        <v>#N/A</v>
      </c>
      <c r="N795" s="29" t="e">
        <f>NA()</f>
        <v>#N/A</v>
      </c>
      <c r="O795" s="29" t="e">
        <v>#N/A</v>
      </c>
      <c r="P795" s="51" t="e">
        <f t="shared" si="60"/>
        <v>#N/A</v>
      </c>
      <c r="Q795" s="29" t="e">
        <f>NA()</f>
        <v>#N/A</v>
      </c>
      <c r="R795" s="43" t="e">
        <v>#N/A</v>
      </c>
      <c r="S795" s="32" t="e">
        <f t="shared" si="63"/>
        <v>#N/A</v>
      </c>
      <c r="T795" s="54" t="e">
        <f>VLOOKUP(A795,[1]인포맥스!$A:$I,9,0)</f>
        <v>#N/A</v>
      </c>
      <c r="U795" s="70" t="e">
        <f t="shared" si="64"/>
        <v>#N/A</v>
      </c>
    </row>
    <row r="796" spans="1:21" x14ac:dyDescent="0.25">
      <c r="A796" s="3">
        <v>20209</v>
      </c>
      <c r="B796" s="29" t="e">
        <f>NA()</f>
        <v>#N/A</v>
      </c>
      <c r="C796" s="29" t="e">
        <v>#N/A</v>
      </c>
      <c r="D796" s="50">
        <f>68.7</f>
        <v>68.7</v>
      </c>
      <c r="E796" s="30">
        <v>68.7</v>
      </c>
      <c r="F796" s="29" t="e">
        <f>NA()</f>
        <v>#N/A</v>
      </c>
      <c r="G796" s="31" t="e">
        <v>#N/A</v>
      </c>
      <c r="H796" s="51" t="e">
        <f t="shared" si="61"/>
        <v>#N/A</v>
      </c>
      <c r="I796" s="29" t="e">
        <f>NA()</f>
        <v>#N/A</v>
      </c>
      <c r="J796" s="31" t="e">
        <v>#N/A</v>
      </c>
      <c r="K796" s="51" t="e">
        <f t="shared" si="62"/>
        <v>#N/A</v>
      </c>
      <c r="L796" s="29" t="e">
        <f>NA()</f>
        <v>#N/A</v>
      </c>
      <c r="M796" s="30" t="e">
        <v>#N/A</v>
      </c>
      <c r="N796" s="29" t="e">
        <f>NA()</f>
        <v>#N/A</v>
      </c>
      <c r="O796" s="29" t="e">
        <v>#N/A</v>
      </c>
      <c r="P796" s="51" t="e">
        <f t="shared" si="60"/>
        <v>#N/A</v>
      </c>
      <c r="Q796" s="29" t="e">
        <f>NA()</f>
        <v>#N/A</v>
      </c>
      <c r="R796" s="43" t="e">
        <v>#N/A</v>
      </c>
      <c r="S796" s="32" t="e">
        <f t="shared" si="63"/>
        <v>#N/A</v>
      </c>
      <c r="T796" s="54" t="e">
        <f>VLOOKUP(A796,[1]인포맥스!$A:$I,9,0)</f>
        <v>#N/A</v>
      </c>
      <c r="U796" s="70" t="e">
        <f t="shared" si="64"/>
        <v>#N/A</v>
      </c>
    </row>
    <row r="797" spans="1:21" x14ac:dyDescent="0.25">
      <c r="A797" s="3">
        <v>20179</v>
      </c>
      <c r="B797" s="29" t="e">
        <f>NA()</f>
        <v>#N/A</v>
      </c>
      <c r="C797" s="29" t="e">
        <v>#N/A</v>
      </c>
      <c r="D797" s="50">
        <f>67.5</f>
        <v>67.5</v>
      </c>
      <c r="E797" s="30">
        <v>67.5</v>
      </c>
      <c r="F797" s="29" t="e">
        <f>NA()</f>
        <v>#N/A</v>
      </c>
      <c r="G797" s="31" t="e">
        <v>#N/A</v>
      </c>
      <c r="H797" s="51" t="e">
        <f t="shared" si="61"/>
        <v>#N/A</v>
      </c>
      <c r="I797" s="29" t="e">
        <f>NA()</f>
        <v>#N/A</v>
      </c>
      <c r="J797" s="31" t="e">
        <v>#N/A</v>
      </c>
      <c r="K797" s="51" t="e">
        <f t="shared" si="62"/>
        <v>#N/A</v>
      </c>
      <c r="L797" s="29" t="e">
        <f>NA()</f>
        <v>#N/A</v>
      </c>
      <c r="M797" s="30" t="e">
        <v>#N/A</v>
      </c>
      <c r="N797" s="29" t="e">
        <f>NA()</f>
        <v>#N/A</v>
      </c>
      <c r="O797" s="29" t="e">
        <v>#N/A</v>
      </c>
      <c r="P797" s="51" t="e">
        <f t="shared" si="60"/>
        <v>#N/A</v>
      </c>
      <c r="Q797" s="29" t="e">
        <f>NA()</f>
        <v>#N/A</v>
      </c>
      <c r="R797" s="43" t="e">
        <v>#N/A</v>
      </c>
      <c r="S797" s="32" t="e">
        <f t="shared" si="63"/>
        <v>#N/A</v>
      </c>
      <c r="T797" s="54" t="e">
        <f>VLOOKUP(A797,[1]인포맥스!$A:$I,9,0)</f>
        <v>#N/A</v>
      </c>
      <c r="U797" s="70" t="e">
        <f t="shared" si="64"/>
        <v>#N/A</v>
      </c>
    </row>
    <row r="798" spans="1:21" x14ac:dyDescent="0.25">
      <c r="A798" s="3">
        <v>20148</v>
      </c>
      <c r="B798" s="29" t="e">
        <f>NA()</f>
        <v>#N/A</v>
      </c>
      <c r="C798" s="29" t="e">
        <v>#N/A</v>
      </c>
      <c r="D798" s="50">
        <f>67.8</f>
        <v>67.8</v>
      </c>
      <c r="E798" s="30">
        <v>67.8</v>
      </c>
      <c r="F798" s="29" t="e">
        <f>NA()</f>
        <v>#N/A</v>
      </c>
      <c r="G798" s="31" t="e">
        <v>#N/A</v>
      </c>
      <c r="H798" s="51" t="e">
        <f t="shared" si="61"/>
        <v>#N/A</v>
      </c>
      <c r="I798" s="29" t="e">
        <f>NA()</f>
        <v>#N/A</v>
      </c>
      <c r="J798" s="31" t="e">
        <v>#N/A</v>
      </c>
      <c r="K798" s="51" t="e">
        <f t="shared" si="62"/>
        <v>#N/A</v>
      </c>
      <c r="L798" s="29" t="e">
        <f>NA()</f>
        <v>#N/A</v>
      </c>
      <c r="M798" s="30" t="e">
        <v>#N/A</v>
      </c>
      <c r="N798" s="29" t="e">
        <f>NA()</f>
        <v>#N/A</v>
      </c>
      <c r="O798" s="29" t="e">
        <v>#N/A</v>
      </c>
      <c r="P798" s="51" t="e">
        <f t="shared" si="60"/>
        <v>#N/A</v>
      </c>
      <c r="Q798" s="29" t="e">
        <f>NA()</f>
        <v>#N/A</v>
      </c>
      <c r="R798" s="43" t="e">
        <v>#N/A</v>
      </c>
      <c r="S798" s="32" t="e">
        <f t="shared" si="63"/>
        <v>#N/A</v>
      </c>
      <c r="T798" s="54" t="e">
        <f>VLOOKUP(A798,[1]인포맥스!$A:$I,9,0)</f>
        <v>#N/A</v>
      </c>
      <c r="U798" s="70" t="e">
        <f t="shared" si="64"/>
        <v>#N/A</v>
      </c>
    </row>
    <row r="799" spans="1:21" x14ac:dyDescent="0.25">
      <c r="A799" s="3">
        <v>20120</v>
      </c>
      <c r="B799" s="29" t="e">
        <f>NA()</f>
        <v>#N/A</v>
      </c>
      <c r="C799" s="29" t="e">
        <v>#N/A</v>
      </c>
      <c r="D799" s="50">
        <f>63</f>
        <v>63</v>
      </c>
      <c r="E799" s="30">
        <v>63</v>
      </c>
      <c r="F799" s="29" t="e">
        <f>NA()</f>
        <v>#N/A</v>
      </c>
      <c r="G799" s="31" t="e">
        <v>#N/A</v>
      </c>
      <c r="H799" s="51" t="e">
        <f t="shared" si="61"/>
        <v>#N/A</v>
      </c>
      <c r="I799" s="29" t="e">
        <f>NA()</f>
        <v>#N/A</v>
      </c>
      <c r="J799" s="31" t="e">
        <v>#N/A</v>
      </c>
      <c r="K799" s="51" t="e">
        <f t="shared" si="62"/>
        <v>#N/A</v>
      </c>
      <c r="L799" s="29" t="e">
        <f>NA()</f>
        <v>#N/A</v>
      </c>
      <c r="M799" s="30" t="e">
        <v>#N/A</v>
      </c>
      <c r="N799" s="29" t="e">
        <f>NA()</f>
        <v>#N/A</v>
      </c>
      <c r="O799" s="29" t="e">
        <v>#N/A</v>
      </c>
      <c r="P799" s="51" t="e">
        <f t="shared" si="60"/>
        <v>#N/A</v>
      </c>
      <c r="Q799" s="29" t="e">
        <f>NA()</f>
        <v>#N/A</v>
      </c>
      <c r="R799" s="43" t="e">
        <v>#N/A</v>
      </c>
      <c r="S799" s="32" t="e">
        <f t="shared" si="63"/>
        <v>#N/A</v>
      </c>
      <c r="T799" s="54" t="e">
        <f>VLOOKUP(A799,[1]인포맥스!$A:$I,9,0)</f>
        <v>#N/A</v>
      </c>
      <c r="U799" s="70" t="e">
        <f t="shared" si="64"/>
        <v>#N/A</v>
      </c>
    </row>
    <row r="800" spans="1:21" x14ac:dyDescent="0.25">
      <c r="A800" s="3">
        <v>20089</v>
      </c>
      <c r="B800" s="29" t="e">
        <f>NA()</f>
        <v>#N/A</v>
      </c>
      <c r="C800" s="29" t="e">
        <v>#N/A</v>
      </c>
      <c r="D800" s="50">
        <f>63.8</f>
        <v>63.8</v>
      </c>
      <c r="E800" s="30">
        <v>63.8</v>
      </c>
      <c r="F800" s="29" t="e">
        <f>NA()</f>
        <v>#N/A</v>
      </c>
      <c r="G800" s="31" t="e">
        <v>#N/A</v>
      </c>
      <c r="H800" s="51" t="e">
        <f t="shared" si="61"/>
        <v>#N/A</v>
      </c>
      <c r="I800" s="29" t="e">
        <f>NA()</f>
        <v>#N/A</v>
      </c>
      <c r="J800" s="31" t="e">
        <v>#N/A</v>
      </c>
      <c r="K800" s="51" t="e">
        <f t="shared" si="62"/>
        <v>#N/A</v>
      </c>
      <c r="L800" s="29" t="e">
        <f>NA()</f>
        <v>#N/A</v>
      </c>
      <c r="M800" s="30" t="e">
        <v>#N/A</v>
      </c>
      <c r="N800" s="29" t="e">
        <f>NA()</f>
        <v>#N/A</v>
      </c>
      <c r="O800" s="29" t="e">
        <v>#N/A</v>
      </c>
      <c r="P800" s="51" t="e">
        <f t="shared" si="60"/>
        <v>#N/A</v>
      </c>
      <c r="Q800" s="29" t="e">
        <f>NA()</f>
        <v>#N/A</v>
      </c>
      <c r="R800" s="43" t="e">
        <v>#N/A</v>
      </c>
      <c r="S800" s="32" t="e">
        <f t="shared" si="63"/>
        <v>#N/A</v>
      </c>
      <c r="T800" s="54" t="e">
        <f>VLOOKUP(A800,[1]인포맥스!$A:$I,9,0)</f>
        <v>#N/A</v>
      </c>
      <c r="U800" s="70" t="e">
        <f t="shared" si="64"/>
        <v>#N/A</v>
      </c>
    </row>
    <row r="801" spans="1:21" x14ac:dyDescent="0.25">
      <c r="A801" s="3">
        <v>20058</v>
      </c>
      <c r="B801" s="29" t="e">
        <f>NA()</f>
        <v>#N/A</v>
      </c>
      <c r="C801" s="29" t="e">
        <v>#N/A</v>
      </c>
      <c r="D801" s="50">
        <f>58.8</f>
        <v>58.8</v>
      </c>
      <c r="E801" s="30">
        <v>58.8</v>
      </c>
      <c r="F801" s="29" t="e">
        <f>NA()</f>
        <v>#N/A</v>
      </c>
      <c r="G801" s="31" t="e">
        <v>#N/A</v>
      </c>
      <c r="H801" s="51" t="e">
        <f t="shared" si="61"/>
        <v>#N/A</v>
      </c>
      <c r="I801" s="29" t="e">
        <f>NA()</f>
        <v>#N/A</v>
      </c>
      <c r="J801" s="31" t="e">
        <v>#N/A</v>
      </c>
      <c r="K801" s="51" t="e">
        <f t="shared" si="62"/>
        <v>#N/A</v>
      </c>
      <c r="L801" s="29" t="e">
        <f>NA()</f>
        <v>#N/A</v>
      </c>
      <c r="M801" s="30" t="e">
        <v>#N/A</v>
      </c>
      <c r="N801" s="29" t="e">
        <f>NA()</f>
        <v>#N/A</v>
      </c>
      <c r="O801" s="29" t="e">
        <v>#N/A</v>
      </c>
      <c r="P801" s="51" t="e">
        <f t="shared" si="60"/>
        <v>#N/A</v>
      </c>
      <c r="Q801" s="29" t="e">
        <f>NA()</f>
        <v>#N/A</v>
      </c>
      <c r="R801" s="43" t="e">
        <v>#N/A</v>
      </c>
      <c r="S801" s="32" t="e">
        <f t="shared" si="63"/>
        <v>#N/A</v>
      </c>
      <c r="T801" s="54" t="e">
        <f>VLOOKUP(A801,[1]인포맥스!$A:$I,9,0)</f>
        <v>#N/A</v>
      </c>
      <c r="U801" s="70" t="e">
        <f t="shared" si="64"/>
        <v>#N/A</v>
      </c>
    </row>
    <row r="802" spans="1:21" x14ac:dyDescent="0.25">
      <c r="A802" s="3">
        <v>20028</v>
      </c>
      <c r="B802" s="29" t="e">
        <f>NA()</f>
        <v>#N/A</v>
      </c>
      <c r="C802" s="29" t="e">
        <v>#N/A</v>
      </c>
      <c r="D802" s="50">
        <f>58.2</f>
        <v>58.2</v>
      </c>
      <c r="E802" s="30">
        <v>58.2</v>
      </c>
      <c r="F802" s="29" t="e">
        <f>NA()</f>
        <v>#N/A</v>
      </c>
      <c r="G802" s="31" t="e">
        <v>#N/A</v>
      </c>
      <c r="H802" s="51" t="e">
        <f t="shared" si="61"/>
        <v>#N/A</v>
      </c>
      <c r="I802" s="29" t="e">
        <f>NA()</f>
        <v>#N/A</v>
      </c>
      <c r="J802" s="31" t="e">
        <v>#N/A</v>
      </c>
      <c r="K802" s="51" t="e">
        <f t="shared" si="62"/>
        <v>#N/A</v>
      </c>
      <c r="L802" s="29" t="e">
        <f>NA()</f>
        <v>#N/A</v>
      </c>
      <c r="M802" s="30" t="e">
        <v>#N/A</v>
      </c>
      <c r="N802" s="29" t="e">
        <f>NA()</f>
        <v>#N/A</v>
      </c>
      <c r="O802" s="29" t="e">
        <v>#N/A</v>
      </c>
      <c r="P802" s="51" t="e">
        <f t="shared" si="60"/>
        <v>#N/A</v>
      </c>
      <c r="Q802" s="29" t="e">
        <f>NA()</f>
        <v>#N/A</v>
      </c>
      <c r="R802" s="43" t="e">
        <v>#N/A</v>
      </c>
      <c r="S802" s="32" t="e">
        <f t="shared" si="63"/>
        <v>#N/A</v>
      </c>
      <c r="T802" s="54" t="e">
        <f>VLOOKUP(A802,[1]인포맥스!$A:$I,9,0)</f>
        <v>#N/A</v>
      </c>
      <c r="U802" s="70" t="e">
        <f t="shared" si="64"/>
        <v>#N/A</v>
      </c>
    </row>
    <row r="803" spans="1:21" x14ac:dyDescent="0.25">
      <c r="A803" s="3">
        <v>19997</v>
      </c>
      <c r="B803" s="29" t="e">
        <f>NA()</f>
        <v>#N/A</v>
      </c>
      <c r="C803" s="29" t="e">
        <v>#N/A</v>
      </c>
      <c r="D803" s="50">
        <f>53.5</f>
        <v>53.5</v>
      </c>
      <c r="E803" s="30">
        <v>53.5</v>
      </c>
      <c r="F803" s="29" t="e">
        <f>NA()</f>
        <v>#N/A</v>
      </c>
      <c r="G803" s="31" t="e">
        <v>#N/A</v>
      </c>
      <c r="H803" s="51" t="e">
        <f t="shared" si="61"/>
        <v>#N/A</v>
      </c>
      <c r="I803" s="29" t="e">
        <f>NA()</f>
        <v>#N/A</v>
      </c>
      <c r="J803" s="31" t="e">
        <v>#N/A</v>
      </c>
      <c r="K803" s="51" t="e">
        <f t="shared" si="62"/>
        <v>#N/A</v>
      </c>
      <c r="L803" s="29" t="e">
        <f>NA()</f>
        <v>#N/A</v>
      </c>
      <c r="M803" s="30" t="e">
        <v>#N/A</v>
      </c>
      <c r="N803" s="29" t="e">
        <f>NA()</f>
        <v>#N/A</v>
      </c>
      <c r="O803" s="29" t="e">
        <v>#N/A</v>
      </c>
      <c r="P803" s="51" t="e">
        <f t="shared" si="60"/>
        <v>#N/A</v>
      </c>
      <c r="Q803" s="29" t="e">
        <f>NA()</f>
        <v>#N/A</v>
      </c>
      <c r="R803" s="43" t="e">
        <v>#N/A</v>
      </c>
      <c r="S803" s="32" t="e">
        <f t="shared" si="63"/>
        <v>#N/A</v>
      </c>
      <c r="T803" s="54" t="e">
        <f>VLOOKUP(A803,[1]인포맥스!$A:$I,9,0)</f>
        <v>#N/A</v>
      </c>
      <c r="U803" s="70" t="e">
        <f t="shared" si="64"/>
        <v>#N/A</v>
      </c>
    </row>
    <row r="804" spans="1:21" x14ac:dyDescent="0.25">
      <c r="A804" s="3">
        <v>19967</v>
      </c>
      <c r="B804" s="29" t="e">
        <f>NA()</f>
        <v>#N/A</v>
      </c>
      <c r="C804" s="29" t="e">
        <v>#N/A</v>
      </c>
      <c r="D804" s="50">
        <f>54.4</f>
        <v>54.4</v>
      </c>
      <c r="E804" s="30">
        <v>54.4</v>
      </c>
      <c r="F804" s="29" t="e">
        <f>NA()</f>
        <v>#N/A</v>
      </c>
      <c r="G804" s="31" t="e">
        <v>#N/A</v>
      </c>
      <c r="H804" s="51" t="e">
        <f t="shared" si="61"/>
        <v>#N/A</v>
      </c>
      <c r="I804" s="29" t="e">
        <f>NA()</f>
        <v>#N/A</v>
      </c>
      <c r="J804" s="31" t="e">
        <v>#N/A</v>
      </c>
      <c r="K804" s="51" t="e">
        <f t="shared" si="62"/>
        <v>#N/A</v>
      </c>
      <c r="L804" s="29" t="e">
        <f>NA()</f>
        <v>#N/A</v>
      </c>
      <c r="M804" s="30" t="e">
        <v>#N/A</v>
      </c>
      <c r="N804" s="29" t="e">
        <f>NA()</f>
        <v>#N/A</v>
      </c>
      <c r="O804" s="29" t="e">
        <v>#N/A</v>
      </c>
      <c r="P804" s="51" t="e">
        <f t="shared" si="60"/>
        <v>#N/A</v>
      </c>
      <c r="Q804" s="29" t="e">
        <f>NA()</f>
        <v>#N/A</v>
      </c>
      <c r="R804" s="43" t="e">
        <v>#N/A</v>
      </c>
      <c r="S804" s="32" t="e">
        <f t="shared" si="63"/>
        <v>#N/A</v>
      </c>
      <c r="T804" s="54" t="e">
        <f>VLOOKUP(A804,[1]인포맥스!$A:$I,9,0)</f>
        <v>#N/A</v>
      </c>
      <c r="U804" s="70" t="e">
        <f t="shared" si="64"/>
        <v>#N/A</v>
      </c>
    </row>
    <row r="805" spans="1:21" x14ac:dyDescent="0.25">
      <c r="A805" s="3">
        <v>19936</v>
      </c>
      <c r="B805" s="29" t="e">
        <f>NA()</f>
        <v>#N/A</v>
      </c>
      <c r="C805" s="29" t="e">
        <v>#N/A</v>
      </c>
      <c r="D805" s="50">
        <f>51.7</f>
        <v>51.7</v>
      </c>
      <c r="E805" s="30">
        <v>51.7</v>
      </c>
      <c r="F805" s="29" t="e">
        <f>NA()</f>
        <v>#N/A</v>
      </c>
      <c r="G805" s="31" t="e">
        <v>#N/A</v>
      </c>
      <c r="H805" s="51" t="e">
        <f t="shared" si="61"/>
        <v>#N/A</v>
      </c>
      <c r="I805" s="29" t="e">
        <f>NA()</f>
        <v>#N/A</v>
      </c>
      <c r="J805" s="31" t="e">
        <v>#N/A</v>
      </c>
      <c r="K805" s="51" t="e">
        <f t="shared" si="62"/>
        <v>#N/A</v>
      </c>
      <c r="L805" s="29" t="e">
        <f>NA()</f>
        <v>#N/A</v>
      </c>
      <c r="M805" s="30" t="e">
        <v>#N/A</v>
      </c>
      <c r="N805" s="29" t="e">
        <f>NA()</f>
        <v>#N/A</v>
      </c>
      <c r="O805" s="29" t="e">
        <v>#N/A</v>
      </c>
      <c r="P805" s="51" t="e">
        <f t="shared" si="60"/>
        <v>#N/A</v>
      </c>
      <c r="Q805" s="29" t="e">
        <f>NA()</f>
        <v>#N/A</v>
      </c>
      <c r="R805" s="43" t="e">
        <v>#N/A</v>
      </c>
      <c r="S805" s="32" t="e">
        <f t="shared" si="63"/>
        <v>#N/A</v>
      </c>
      <c r="T805" s="54" t="e">
        <f>VLOOKUP(A805,[1]인포맥스!$A:$I,9,0)</f>
        <v>#N/A</v>
      </c>
      <c r="U805" s="70" t="e">
        <f t="shared" si="64"/>
        <v>#N/A</v>
      </c>
    </row>
    <row r="806" spans="1:21" x14ac:dyDescent="0.25">
      <c r="A806" s="3">
        <v>19905</v>
      </c>
      <c r="B806" s="29" t="e">
        <f>NA()</f>
        <v>#N/A</v>
      </c>
      <c r="C806" s="29" t="e">
        <v>#N/A</v>
      </c>
      <c r="D806" s="50">
        <f>52.1</f>
        <v>52.1</v>
      </c>
      <c r="E806" s="30">
        <v>52.1</v>
      </c>
      <c r="F806" s="29" t="e">
        <f>NA()</f>
        <v>#N/A</v>
      </c>
      <c r="G806" s="31" t="e">
        <v>#N/A</v>
      </c>
      <c r="H806" s="51" t="e">
        <f t="shared" si="61"/>
        <v>#N/A</v>
      </c>
      <c r="I806" s="29" t="e">
        <f>NA()</f>
        <v>#N/A</v>
      </c>
      <c r="J806" s="31" t="e">
        <v>#N/A</v>
      </c>
      <c r="K806" s="51" t="e">
        <f t="shared" si="62"/>
        <v>#N/A</v>
      </c>
      <c r="L806" s="29" t="e">
        <f>NA()</f>
        <v>#N/A</v>
      </c>
      <c r="M806" s="30" t="e">
        <v>#N/A</v>
      </c>
      <c r="N806" s="29" t="e">
        <f>NA()</f>
        <v>#N/A</v>
      </c>
      <c r="O806" s="29" t="e">
        <v>#N/A</v>
      </c>
      <c r="P806" s="51" t="e">
        <f t="shared" si="60"/>
        <v>#N/A</v>
      </c>
      <c r="Q806" s="29" t="e">
        <f>NA()</f>
        <v>#N/A</v>
      </c>
      <c r="R806" s="43" t="e">
        <v>#N/A</v>
      </c>
      <c r="S806" s="32" t="e">
        <f t="shared" si="63"/>
        <v>#N/A</v>
      </c>
      <c r="T806" s="54" t="e">
        <f>VLOOKUP(A806,[1]인포맥스!$A:$I,9,0)</f>
        <v>#N/A</v>
      </c>
      <c r="U806" s="70" t="e">
        <f t="shared" si="64"/>
        <v>#N/A</v>
      </c>
    </row>
    <row r="807" spans="1:21" x14ac:dyDescent="0.25">
      <c r="A807" s="3">
        <v>19875</v>
      </c>
      <c r="B807" s="29" t="e">
        <f>NA()</f>
        <v>#N/A</v>
      </c>
      <c r="C807" s="29" t="e">
        <v>#N/A</v>
      </c>
      <c r="D807" s="50">
        <f>50.1</f>
        <v>50.1</v>
      </c>
      <c r="E807" s="30">
        <v>50.1</v>
      </c>
      <c r="F807" s="29" t="e">
        <f>NA()</f>
        <v>#N/A</v>
      </c>
      <c r="G807" s="31" t="e">
        <v>#N/A</v>
      </c>
      <c r="H807" s="51" t="e">
        <f t="shared" si="61"/>
        <v>#N/A</v>
      </c>
      <c r="I807" s="29" t="e">
        <f>NA()</f>
        <v>#N/A</v>
      </c>
      <c r="J807" s="31" t="e">
        <v>#N/A</v>
      </c>
      <c r="K807" s="51" t="e">
        <f t="shared" si="62"/>
        <v>#N/A</v>
      </c>
      <c r="L807" s="29" t="e">
        <f>NA()</f>
        <v>#N/A</v>
      </c>
      <c r="M807" s="30" t="e">
        <v>#N/A</v>
      </c>
      <c r="N807" s="29" t="e">
        <f>NA()</f>
        <v>#N/A</v>
      </c>
      <c r="O807" s="29" t="e">
        <v>#N/A</v>
      </c>
      <c r="P807" s="51" t="e">
        <f t="shared" si="60"/>
        <v>#N/A</v>
      </c>
      <c r="Q807" s="29" t="e">
        <f>NA()</f>
        <v>#N/A</v>
      </c>
      <c r="R807" s="43" t="e">
        <v>#N/A</v>
      </c>
      <c r="S807" s="32" t="e">
        <f t="shared" si="63"/>
        <v>#N/A</v>
      </c>
      <c r="T807" s="54" t="e">
        <f>VLOOKUP(A807,[1]인포맥스!$A:$I,9,0)</f>
        <v>#N/A</v>
      </c>
      <c r="U807" s="70" t="e">
        <f t="shared" si="64"/>
        <v>#N/A</v>
      </c>
    </row>
    <row r="808" spans="1:21" x14ac:dyDescent="0.25">
      <c r="A808" s="3">
        <v>19844</v>
      </c>
      <c r="B808" s="29" t="e">
        <f>NA()</f>
        <v>#N/A</v>
      </c>
      <c r="C808" s="29" t="e">
        <v>#N/A</v>
      </c>
      <c r="D808" s="50">
        <f>47.7</f>
        <v>47.7</v>
      </c>
      <c r="E808" s="30">
        <v>47.7</v>
      </c>
      <c r="F808" s="29" t="e">
        <f>NA()</f>
        <v>#N/A</v>
      </c>
      <c r="G808" s="31" t="e">
        <v>#N/A</v>
      </c>
      <c r="H808" s="51" t="e">
        <f t="shared" si="61"/>
        <v>#N/A</v>
      </c>
      <c r="I808" s="29" t="e">
        <f>NA()</f>
        <v>#N/A</v>
      </c>
      <c r="J808" s="31" t="e">
        <v>#N/A</v>
      </c>
      <c r="K808" s="51" t="e">
        <f t="shared" si="62"/>
        <v>#N/A</v>
      </c>
      <c r="L808" s="29" t="e">
        <f>NA()</f>
        <v>#N/A</v>
      </c>
      <c r="M808" s="30" t="e">
        <v>#N/A</v>
      </c>
      <c r="N808" s="29" t="e">
        <f>NA()</f>
        <v>#N/A</v>
      </c>
      <c r="O808" s="29" t="e">
        <v>#N/A</v>
      </c>
      <c r="P808" s="51" t="e">
        <f t="shared" si="60"/>
        <v>#N/A</v>
      </c>
      <c r="Q808" s="29" t="e">
        <f>NA()</f>
        <v>#N/A</v>
      </c>
      <c r="R808" s="43" t="e">
        <v>#N/A</v>
      </c>
      <c r="S808" s="32" t="e">
        <f t="shared" si="63"/>
        <v>#N/A</v>
      </c>
      <c r="T808" s="54" t="e">
        <f>VLOOKUP(A808,[1]인포맥스!$A:$I,9,0)</f>
        <v>#N/A</v>
      </c>
      <c r="U808" s="70" t="e">
        <f t="shared" si="64"/>
        <v>#N/A</v>
      </c>
    </row>
    <row r="809" spans="1:21" x14ac:dyDescent="0.25">
      <c r="A809" s="3">
        <v>19814</v>
      </c>
      <c r="B809" s="29" t="e">
        <f>NA()</f>
        <v>#N/A</v>
      </c>
      <c r="C809" s="29" t="e">
        <v>#N/A</v>
      </c>
      <c r="D809" s="50">
        <f>44.7</f>
        <v>44.7</v>
      </c>
      <c r="E809" s="30">
        <v>44.7</v>
      </c>
      <c r="F809" s="29" t="e">
        <f>NA()</f>
        <v>#N/A</v>
      </c>
      <c r="G809" s="31" t="e">
        <v>#N/A</v>
      </c>
      <c r="H809" s="51" t="e">
        <f t="shared" si="61"/>
        <v>#N/A</v>
      </c>
      <c r="I809" s="29" t="e">
        <f>NA()</f>
        <v>#N/A</v>
      </c>
      <c r="J809" s="31" t="e">
        <v>#N/A</v>
      </c>
      <c r="K809" s="51" t="e">
        <f t="shared" si="62"/>
        <v>#N/A</v>
      </c>
      <c r="L809" s="29" t="e">
        <f>NA()</f>
        <v>#N/A</v>
      </c>
      <c r="M809" s="30" t="e">
        <v>#N/A</v>
      </c>
      <c r="N809" s="29" t="e">
        <f>NA()</f>
        <v>#N/A</v>
      </c>
      <c r="O809" s="29" t="e">
        <v>#N/A</v>
      </c>
      <c r="P809" s="51" t="e">
        <f t="shared" si="60"/>
        <v>#N/A</v>
      </c>
      <c r="Q809" s="29" t="e">
        <f>NA()</f>
        <v>#N/A</v>
      </c>
      <c r="R809" s="43" t="e">
        <v>#N/A</v>
      </c>
      <c r="S809" s="32" t="e">
        <f t="shared" si="63"/>
        <v>#N/A</v>
      </c>
      <c r="T809" s="54" t="e">
        <f>VLOOKUP(A809,[1]인포맥스!$A:$I,9,0)</f>
        <v>#N/A</v>
      </c>
      <c r="U809" s="70" t="e">
        <f t="shared" si="64"/>
        <v>#N/A</v>
      </c>
    </row>
    <row r="810" spans="1:21" x14ac:dyDescent="0.25">
      <c r="A810" s="3">
        <v>19783</v>
      </c>
      <c r="B810" s="29" t="e">
        <f>NA()</f>
        <v>#N/A</v>
      </c>
      <c r="C810" s="29" t="e">
        <v>#N/A</v>
      </c>
      <c r="D810" s="50">
        <f>40.7</f>
        <v>40.700000000000003</v>
      </c>
      <c r="E810" s="30">
        <v>40.700000000000003</v>
      </c>
      <c r="F810" s="29" t="e">
        <f>NA()</f>
        <v>#N/A</v>
      </c>
      <c r="G810" s="31" t="e">
        <v>#N/A</v>
      </c>
      <c r="H810" s="51" t="e">
        <f t="shared" si="61"/>
        <v>#N/A</v>
      </c>
      <c r="I810" s="29" t="e">
        <f>NA()</f>
        <v>#N/A</v>
      </c>
      <c r="J810" s="31" t="e">
        <v>#N/A</v>
      </c>
      <c r="K810" s="51" t="e">
        <f t="shared" si="62"/>
        <v>#N/A</v>
      </c>
      <c r="L810" s="29" t="e">
        <f>NA()</f>
        <v>#N/A</v>
      </c>
      <c r="M810" s="30" t="e">
        <v>#N/A</v>
      </c>
      <c r="N810" s="29" t="e">
        <f>NA()</f>
        <v>#N/A</v>
      </c>
      <c r="O810" s="29" t="e">
        <v>#N/A</v>
      </c>
      <c r="P810" s="51" t="e">
        <f t="shared" si="60"/>
        <v>#N/A</v>
      </c>
      <c r="Q810" s="29" t="e">
        <f>NA()</f>
        <v>#N/A</v>
      </c>
      <c r="R810" s="43" t="e">
        <v>#N/A</v>
      </c>
      <c r="S810" s="32" t="e">
        <f t="shared" si="63"/>
        <v>#N/A</v>
      </c>
      <c r="T810" s="54" t="e">
        <f>VLOOKUP(A810,[1]인포맥스!$A:$I,9,0)</f>
        <v>#N/A</v>
      </c>
      <c r="U810" s="70" t="e">
        <f t="shared" si="64"/>
        <v>#N/A</v>
      </c>
    </row>
    <row r="811" spans="1:21" x14ac:dyDescent="0.25">
      <c r="A811" s="3">
        <v>19755</v>
      </c>
      <c r="B811" s="29" t="e">
        <f>NA()</f>
        <v>#N/A</v>
      </c>
      <c r="C811" s="29" t="e">
        <v>#N/A</v>
      </c>
      <c r="D811" s="50">
        <f>37.4</f>
        <v>37.4</v>
      </c>
      <c r="E811" s="30">
        <v>37.4</v>
      </c>
      <c r="F811" s="29" t="e">
        <f>NA()</f>
        <v>#N/A</v>
      </c>
      <c r="G811" s="31" t="e">
        <v>#N/A</v>
      </c>
      <c r="H811" s="51" t="e">
        <f t="shared" si="61"/>
        <v>#N/A</v>
      </c>
      <c r="I811" s="29" t="e">
        <f>NA()</f>
        <v>#N/A</v>
      </c>
      <c r="J811" s="31" t="e">
        <v>#N/A</v>
      </c>
      <c r="K811" s="51" t="e">
        <f t="shared" si="62"/>
        <v>#N/A</v>
      </c>
      <c r="L811" s="29" t="e">
        <f>NA()</f>
        <v>#N/A</v>
      </c>
      <c r="M811" s="30" t="e">
        <v>#N/A</v>
      </c>
      <c r="N811" s="29" t="e">
        <f>NA()</f>
        <v>#N/A</v>
      </c>
      <c r="O811" s="29" t="e">
        <v>#N/A</v>
      </c>
      <c r="P811" s="51" t="e">
        <f t="shared" si="60"/>
        <v>#N/A</v>
      </c>
      <c r="Q811" s="29" t="e">
        <f>NA()</f>
        <v>#N/A</v>
      </c>
      <c r="R811" s="43" t="e">
        <v>#N/A</v>
      </c>
      <c r="S811" s="32" t="e">
        <f t="shared" si="63"/>
        <v>#N/A</v>
      </c>
      <c r="T811" s="54" t="e">
        <f>VLOOKUP(A811,[1]인포맥스!$A:$I,9,0)</f>
        <v>#N/A</v>
      </c>
      <c r="U811" s="70" t="e">
        <f t="shared" si="64"/>
        <v>#N/A</v>
      </c>
    </row>
    <row r="812" spans="1:21" x14ac:dyDescent="0.25">
      <c r="A812" s="3">
        <v>19724</v>
      </c>
      <c r="B812" s="29" t="e">
        <f>NA()</f>
        <v>#N/A</v>
      </c>
      <c r="C812" s="29" t="e">
        <v>#N/A</v>
      </c>
      <c r="D812" s="50">
        <f>35.6</f>
        <v>35.6</v>
      </c>
      <c r="E812" s="30">
        <v>35.6</v>
      </c>
      <c r="F812" s="29" t="e">
        <f>NA()</f>
        <v>#N/A</v>
      </c>
      <c r="G812" s="31" t="e">
        <v>#N/A</v>
      </c>
      <c r="H812" s="51" t="e">
        <f t="shared" si="61"/>
        <v>#N/A</v>
      </c>
      <c r="I812" s="29" t="e">
        <f>NA()</f>
        <v>#N/A</v>
      </c>
      <c r="J812" s="31" t="e">
        <v>#N/A</v>
      </c>
      <c r="K812" s="51" t="e">
        <f t="shared" si="62"/>
        <v>#N/A</v>
      </c>
      <c r="L812" s="29" t="e">
        <f>NA()</f>
        <v>#N/A</v>
      </c>
      <c r="M812" s="30" t="e">
        <v>#N/A</v>
      </c>
      <c r="N812" s="29" t="e">
        <f>NA()</f>
        <v>#N/A</v>
      </c>
      <c r="O812" s="29" t="e">
        <v>#N/A</v>
      </c>
      <c r="P812" s="51" t="e">
        <f t="shared" si="60"/>
        <v>#N/A</v>
      </c>
      <c r="Q812" s="29" t="e">
        <f>NA()</f>
        <v>#N/A</v>
      </c>
      <c r="R812" s="43" t="e">
        <v>#N/A</v>
      </c>
      <c r="S812" s="32" t="e">
        <f t="shared" si="63"/>
        <v>#N/A</v>
      </c>
      <c r="T812" s="54" t="e">
        <f>VLOOKUP(A812,[1]인포맥스!$A:$I,9,0)</f>
        <v>#N/A</v>
      </c>
      <c r="U812" s="70" t="e">
        <f t="shared" si="64"/>
        <v>#N/A</v>
      </c>
    </row>
    <row r="813" spans="1:21" x14ac:dyDescent="0.25">
      <c r="A813" s="3">
        <v>19693</v>
      </c>
      <c r="B813" s="29" t="e">
        <f>NA()</f>
        <v>#N/A</v>
      </c>
      <c r="C813" s="29" t="e">
        <v>#N/A</v>
      </c>
      <c r="D813" s="50">
        <f>36.9</f>
        <v>36.9</v>
      </c>
      <c r="E813" s="30">
        <v>36.9</v>
      </c>
      <c r="F813" s="29" t="e">
        <f>NA()</f>
        <v>#N/A</v>
      </c>
      <c r="G813" s="31" t="e">
        <v>#N/A</v>
      </c>
      <c r="H813" s="51" t="e">
        <f t="shared" si="61"/>
        <v>#N/A</v>
      </c>
      <c r="I813" s="29" t="e">
        <f>NA()</f>
        <v>#N/A</v>
      </c>
      <c r="J813" s="31" t="e">
        <v>#N/A</v>
      </c>
      <c r="K813" s="51" t="e">
        <f t="shared" si="62"/>
        <v>#N/A</v>
      </c>
      <c r="L813" s="29" t="e">
        <f>NA()</f>
        <v>#N/A</v>
      </c>
      <c r="M813" s="30" t="e">
        <v>#N/A</v>
      </c>
      <c r="N813" s="29" t="e">
        <f>NA()</f>
        <v>#N/A</v>
      </c>
      <c r="O813" s="29" t="e">
        <v>#N/A</v>
      </c>
      <c r="P813" s="51" t="e">
        <f t="shared" si="60"/>
        <v>#N/A</v>
      </c>
      <c r="Q813" s="29" t="e">
        <f>NA()</f>
        <v>#N/A</v>
      </c>
      <c r="R813" s="43" t="e">
        <v>#N/A</v>
      </c>
      <c r="S813" s="32" t="e">
        <f t="shared" si="63"/>
        <v>#N/A</v>
      </c>
      <c r="T813" s="54" t="e">
        <f>VLOOKUP(A813,[1]인포맥스!$A:$I,9,0)</f>
        <v>#N/A</v>
      </c>
      <c r="U813" s="70" t="e">
        <f t="shared" si="64"/>
        <v>#N/A</v>
      </c>
    </row>
    <row r="814" spans="1:21" x14ac:dyDescent="0.25">
      <c r="A814" s="3">
        <v>19663</v>
      </c>
      <c r="B814" s="29" t="e">
        <f>NA()</f>
        <v>#N/A</v>
      </c>
      <c r="C814" s="29" t="e">
        <v>#N/A</v>
      </c>
      <c r="D814" s="50">
        <f>37.4</f>
        <v>37.4</v>
      </c>
      <c r="E814" s="30">
        <v>37.4</v>
      </c>
      <c r="F814" s="29" t="e">
        <f>NA()</f>
        <v>#N/A</v>
      </c>
      <c r="G814" s="31" t="e">
        <v>#N/A</v>
      </c>
      <c r="H814" s="51" t="e">
        <f t="shared" si="61"/>
        <v>#N/A</v>
      </c>
      <c r="I814" s="29" t="e">
        <f>NA()</f>
        <v>#N/A</v>
      </c>
      <c r="J814" s="31" t="e">
        <v>#N/A</v>
      </c>
      <c r="K814" s="51" t="e">
        <f t="shared" si="62"/>
        <v>#N/A</v>
      </c>
      <c r="L814" s="29" t="e">
        <f>NA()</f>
        <v>#N/A</v>
      </c>
      <c r="M814" s="30" t="e">
        <v>#N/A</v>
      </c>
      <c r="N814" s="29" t="e">
        <f>NA()</f>
        <v>#N/A</v>
      </c>
      <c r="O814" s="29" t="e">
        <v>#N/A</v>
      </c>
      <c r="P814" s="51" t="e">
        <f t="shared" si="60"/>
        <v>#N/A</v>
      </c>
      <c r="Q814" s="29" t="e">
        <f>NA()</f>
        <v>#N/A</v>
      </c>
      <c r="R814" s="43" t="e">
        <v>#N/A</v>
      </c>
      <c r="S814" s="32" t="e">
        <f t="shared" si="63"/>
        <v>#N/A</v>
      </c>
      <c r="T814" s="54" t="e">
        <f>VLOOKUP(A814,[1]인포맥스!$A:$I,9,0)</f>
        <v>#N/A</v>
      </c>
      <c r="U814" s="70" t="e">
        <f t="shared" si="64"/>
        <v>#N/A</v>
      </c>
    </row>
    <row r="815" spans="1:21" x14ac:dyDescent="0.25">
      <c r="A815" s="3">
        <v>19632</v>
      </c>
      <c r="B815" s="29" t="e">
        <f>NA()</f>
        <v>#N/A</v>
      </c>
      <c r="C815" s="29" t="e">
        <v>#N/A</v>
      </c>
      <c r="D815" s="50">
        <f>40.2</f>
        <v>40.200000000000003</v>
      </c>
      <c r="E815" s="30">
        <v>40.200000000000003</v>
      </c>
      <c r="F815" s="29" t="e">
        <f>NA()</f>
        <v>#N/A</v>
      </c>
      <c r="G815" s="31" t="e">
        <v>#N/A</v>
      </c>
      <c r="H815" s="51" t="e">
        <f t="shared" si="61"/>
        <v>#N/A</v>
      </c>
      <c r="I815" s="29" t="e">
        <f>NA()</f>
        <v>#N/A</v>
      </c>
      <c r="J815" s="31" t="e">
        <v>#N/A</v>
      </c>
      <c r="K815" s="51" t="e">
        <f t="shared" si="62"/>
        <v>#N/A</v>
      </c>
      <c r="L815" s="29" t="e">
        <f>NA()</f>
        <v>#N/A</v>
      </c>
      <c r="M815" s="30" t="e">
        <v>#N/A</v>
      </c>
      <c r="N815" s="29" t="e">
        <f>NA()</f>
        <v>#N/A</v>
      </c>
      <c r="O815" s="29" t="e">
        <v>#N/A</v>
      </c>
      <c r="P815" s="51" t="e">
        <f t="shared" si="60"/>
        <v>#N/A</v>
      </c>
      <c r="Q815" s="29" t="e">
        <f>NA()</f>
        <v>#N/A</v>
      </c>
      <c r="R815" s="43" t="e">
        <v>#N/A</v>
      </c>
      <c r="S815" s="32" t="e">
        <f t="shared" si="63"/>
        <v>#N/A</v>
      </c>
      <c r="T815" s="54" t="e">
        <f>VLOOKUP(A815,[1]인포맥스!$A:$I,9,0)</f>
        <v>#N/A</v>
      </c>
      <c r="U815" s="70" t="e">
        <f t="shared" si="64"/>
        <v>#N/A</v>
      </c>
    </row>
    <row r="816" spans="1:21" x14ac:dyDescent="0.25">
      <c r="A816" s="3">
        <v>19602</v>
      </c>
      <c r="B816" s="29" t="e">
        <f>NA()</f>
        <v>#N/A</v>
      </c>
      <c r="C816" s="29" t="e">
        <v>#N/A</v>
      </c>
      <c r="D816" s="50">
        <f>43.5</f>
        <v>43.5</v>
      </c>
      <c r="E816" s="30">
        <v>43.5</v>
      </c>
      <c r="F816" s="29" t="e">
        <f>NA()</f>
        <v>#N/A</v>
      </c>
      <c r="G816" s="31" t="e">
        <v>#N/A</v>
      </c>
      <c r="H816" s="51" t="e">
        <f t="shared" si="61"/>
        <v>#N/A</v>
      </c>
      <c r="I816" s="29" t="e">
        <f>NA()</f>
        <v>#N/A</v>
      </c>
      <c r="J816" s="31" t="e">
        <v>#N/A</v>
      </c>
      <c r="K816" s="51" t="e">
        <f t="shared" si="62"/>
        <v>#N/A</v>
      </c>
      <c r="L816" s="29" t="e">
        <f>NA()</f>
        <v>#N/A</v>
      </c>
      <c r="M816" s="30" t="e">
        <v>#N/A</v>
      </c>
      <c r="N816" s="29" t="e">
        <f>NA()</f>
        <v>#N/A</v>
      </c>
      <c r="O816" s="29" t="e">
        <v>#N/A</v>
      </c>
      <c r="P816" s="51" t="e">
        <f t="shared" si="60"/>
        <v>#N/A</v>
      </c>
      <c r="Q816" s="29" t="e">
        <f>NA()</f>
        <v>#N/A</v>
      </c>
      <c r="R816" s="43" t="e">
        <v>#N/A</v>
      </c>
      <c r="S816" s="32" t="e">
        <f t="shared" si="63"/>
        <v>#N/A</v>
      </c>
      <c r="T816" s="54" t="e">
        <f>VLOOKUP(A816,[1]인포맥스!$A:$I,9,0)</f>
        <v>#N/A</v>
      </c>
      <c r="U816" s="70" t="e">
        <f t="shared" si="64"/>
        <v>#N/A</v>
      </c>
    </row>
    <row r="817" spans="1:21" x14ac:dyDescent="0.25">
      <c r="A817" s="3">
        <v>19571</v>
      </c>
      <c r="B817" s="29" t="e">
        <f>NA()</f>
        <v>#N/A</v>
      </c>
      <c r="C817" s="29" t="e">
        <v>#N/A</v>
      </c>
      <c r="D817" s="50">
        <f>46.3</f>
        <v>46.3</v>
      </c>
      <c r="E817" s="30">
        <v>46.3</v>
      </c>
      <c r="F817" s="29" t="e">
        <f>NA()</f>
        <v>#N/A</v>
      </c>
      <c r="G817" s="31" t="e">
        <v>#N/A</v>
      </c>
      <c r="H817" s="51" t="e">
        <f t="shared" si="61"/>
        <v>#N/A</v>
      </c>
      <c r="I817" s="29" t="e">
        <f>NA()</f>
        <v>#N/A</v>
      </c>
      <c r="J817" s="31" t="e">
        <v>#N/A</v>
      </c>
      <c r="K817" s="51" t="e">
        <f t="shared" si="62"/>
        <v>#N/A</v>
      </c>
      <c r="L817" s="29" t="e">
        <f>NA()</f>
        <v>#N/A</v>
      </c>
      <c r="M817" s="30" t="e">
        <v>#N/A</v>
      </c>
      <c r="N817" s="29" t="e">
        <f>NA()</f>
        <v>#N/A</v>
      </c>
      <c r="O817" s="29" t="e">
        <v>#N/A</v>
      </c>
      <c r="P817" s="51" t="e">
        <f t="shared" si="60"/>
        <v>#N/A</v>
      </c>
      <c r="Q817" s="29" t="e">
        <f>NA()</f>
        <v>#N/A</v>
      </c>
      <c r="R817" s="43" t="e">
        <v>#N/A</v>
      </c>
      <c r="S817" s="32" t="e">
        <f t="shared" si="63"/>
        <v>#N/A</v>
      </c>
      <c r="T817" s="54" t="e">
        <f>VLOOKUP(A817,[1]인포맥스!$A:$I,9,0)</f>
        <v>#N/A</v>
      </c>
      <c r="U817" s="70" t="e">
        <f t="shared" si="64"/>
        <v>#N/A</v>
      </c>
    </row>
    <row r="818" spans="1:21" x14ac:dyDescent="0.25">
      <c r="A818" s="3">
        <v>19540</v>
      </c>
      <c r="B818" s="29" t="e">
        <f>NA()</f>
        <v>#N/A</v>
      </c>
      <c r="C818" s="29" t="e">
        <v>#N/A</v>
      </c>
      <c r="D818" s="50">
        <f>48.5</f>
        <v>48.5</v>
      </c>
      <c r="E818" s="30">
        <v>48.5</v>
      </c>
      <c r="F818" s="29" t="e">
        <f>NA()</f>
        <v>#N/A</v>
      </c>
      <c r="G818" s="31" t="e">
        <v>#N/A</v>
      </c>
      <c r="H818" s="51" t="e">
        <f t="shared" si="61"/>
        <v>#N/A</v>
      </c>
      <c r="I818" s="29" t="e">
        <f>NA()</f>
        <v>#N/A</v>
      </c>
      <c r="J818" s="31" t="e">
        <v>#N/A</v>
      </c>
      <c r="K818" s="51" t="e">
        <f t="shared" si="62"/>
        <v>#N/A</v>
      </c>
      <c r="L818" s="29" t="e">
        <f>NA()</f>
        <v>#N/A</v>
      </c>
      <c r="M818" s="30" t="e">
        <v>#N/A</v>
      </c>
      <c r="N818" s="29" t="e">
        <f>NA()</f>
        <v>#N/A</v>
      </c>
      <c r="O818" s="29" t="e">
        <v>#N/A</v>
      </c>
      <c r="P818" s="51" t="e">
        <f t="shared" si="60"/>
        <v>#N/A</v>
      </c>
      <c r="Q818" s="29" t="e">
        <f>NA()</f>
        <v>#N/A</v>
      </c>
      <c r="R818" s="43" t="e">
        <v>#N/A</v>
      </c>
      <c r="S818" s="32" t="e">
        <f t="shared" si="63"/>
        <v>#N/A</v>
      </c>
      <c r="T818" s="54" t="e">
        <f>VLOOKUP(A818,[1]인포맥스!$A:$I,9,0)</f>
        <v>#N/A</v>
      </c>
      <c r="U818" s="70" t="e">
        <f t="shared" si="64"/>
        <v>#N/A</v>
      </c>
    </row>
    <row r="819" spans="1:21" x14ac:dyDescent="0.25">
      <c r="A819" s="3">
        <v>19510</v>
      </c>
      <c r="B819" s="29" t="e">
        <f>NA()</f>
        <v>#N/A</v>
      </c>
      <c r="C819" s="29" t="e">
        <v>#N/A</v>
      </c>
      <c r="D819" s="50">
        <f>48.9</f>
        <v>48.9</v>
      </c>
      <c r="E819" s="30">
        <v>48.9</v>
      </c>
      <c r="F819" s="29" t="e">
        <f>NA()</f>
        <v>#N/A</v>
      </c>
      <c r="G819" s="31" t="e">
        <v>#N/A</v>
      </c>
      <c r="H819" s="51" t="e">
        <f t="shared" si="61"/>
        <v>#N/A</v>
      </c>
      <c r="I819" s="29" t="e">
        <f>NA()</f>
        <v>#N/A</v>
      </c>
      <c r="J819" s="31" t="e">
        <v>#N/A</v>
      </c>
      <c r="K819" s="51" t="e">
        <f t="shared" si="62"/>
        <v>#N/A</v>
      </c>
      <c r="L819" s="29" t="e">
        <f>NA()</f>
        <v>#N/A</v>
      </c>
      <c r="M819" s="30" t="e">
        <v>#N/A</v>
      </c>
      <c r="N819" s="29" t="e">
        <f>NA()</f>
        <v>#N/A</v>
      </c>
      <c r="O819" s="29" t="e">
        <v>#N/A</v>
      </c>
      <c r="P819" s="51" t="e">
        <f t="shared" si="60"/>
        <v>#N/A</v>
      </c>
      <c r="Q819" s="29" t="e">
        <f>NA()</f>
        <v>#N/A</v>
      </c>
      <c r="R819" s="43" t="e">
        <v>#N/A</v>
      </c>
      <c r="S819" s="32" t="e">
        <f t="shared" si="63"/>
        <v>#N/A</v>
      </c>
      <c r="T819" s="54" t="e">
        <f>VLOOKUP(A819,[1]인포맥스!$A:$I,9,0)</f>
        <v>#N/A</v>
      </c>
      <c r="U819" s="70" t="e">
        <f t="shared" si="64"/>
        <v>#N/A</v>
      </c>
    </row>
    <row r="820" spans="1:21" x14ac:dyDescent="0.25">
      <c r="A820" s="3">
        <v>19479</v>
      </c>
      <c r="B820" s="29" t="e">
        <f>NA()</f>
        <v>#N/A</v>
      </c>
      <c r="C820" s="29" t="e">
        <v>#N/A</v>
      </c>
      <c r="D820" s="50">
        <f>51.1</f>
        <v>51.1</v>
      </c>
      <c r="E820" s="30">
        <v>51.1</v>
      </c>
      <c r="F820" s="29" t="e">
        <f>NA()</f>
        <v>#N/A</v>
      </c>
      <c r="G820" s="31" t="e">
        <v>#N/A</v>
      </c>
      <c r="H820" s="51" t="e">
        <f t="shared" si="61"/>
        <v>#N/A</v>
      </c>
      <c r="I820" s="29" t="e">
        <f>NA()</f>
        <v>#N/A</v>
      </c>
      <c r="J820" s="31" t="e">
        <v>#N/A</v>
      </c>
      <c r="K820" s="51" t="e">
        <f t="shared" si="62"/>
        <v>#N/A</v>
      </c>
      <c r="L820" s="29" t="e">
        <f>NA()</f>
        <v>#N/A</v>
      </c>
      <c r="M820" s="30" t="e">
        <v>#N/A</v>
      </c>
      <c r="N820" s="29" t="e">
        <f>NA()</f>
        <v>#N/A</v>
      </c>
      <c r="O820" s="29" t="e">
        <v>#N/A</v>
      </c>
      <c r="P820" s="51" t="e">
        <f t="shared" si="60"/>
        <v>#N/A</v>
      </c>
      <c r="Q820" s="29" t="e">
        <f>NA()</f>
        <v>#N/A</v>
      </c>
      <c r="R820" s="43" t="e">
        <v>#N/A</v>
      </c>
      <c r="S820" s="32" t="e">
        <f t="shared" si="63"/>
        <v>#N/A</v>
      </c>
      <c r="T820" s="54" t="e">
        <f>VLOOKUP(A820,[1]인포맥스!$A:$I,9,0)</f>
        <v>#N/A</v>
      </c>
      <c r="U820" s="70" t="e">
        <f t="shared" si="64"/>
        <v>#N/A</v>
      </c>
    </row>
    <row r="821" spans="1:21" x14ac:dyDescent="0.25">
      <c r="A821" s="3">
        <v>19449</v>
      </c>
      <c r="B821" s="29" t="e">
        <f>NA()</f>
        <v>#N/A</v>
      </c>
      <c r="C821" s="29" t="e">
        <v>#N/A</v>
      </c>
      <c r="D821" s="50">
        <f>50.5</f>
        <v>50.5</v>
      </c>
      <c r="E821" s="30">
        <v>50.5</v>
      </c>
      <c r="F821" s="29" t="e">
        <f>NA()</f>
        <v>#N/A</v>
      </c>
      <c r="G821" s="31" t="e">
        <v>#N/A</v>
      </c>
      <c r="H821" s="51" t="e">
        <f t="shared" si="61"/>
        <v>#N/A</v>
      </c>
      <c r="I821" s="29" t="e">
        <f>NA()</f>
        <v>#N/A</v>
      </c>
      <c r="J821" s="31" t="e">
        <v>#N/A</v>
      </c>
      <c r="K821" s="51" t="e">
        <f t="shared" si="62"/>
        <v>#N/A</v>
      </c>
      <c r="L821" s="29" t="e">
        <f>NA()</f>
        <v>#N/A</v>
      </c>
      <c r="M821" s="30" t="e">
        <v>#N/A</v>
      </c>
      <c r="N821" s="29" t="e">
        <f>NA()</f>
        <v>#N/A</v>
      </c>
      <c r="O821" s="29" t="e">
        <v>#N/A</v>
      </c>
      <c r="P821" s="51" t="e">
        <f t="shared" si="60"/>
        <v>#N/A</v>
      </c>
      <c r="Q821" s="29" t="e">
        <f>NA()</f>
        <v>#N/A</v>
      </c>
      <c r="R821" s="43" t="e">
        <v>#N/A</v>
      </c>
      <c r="S821" s="32" t="e">
        <f t="shared" si="63"/>
        <v>#N/A</v>
      </c>
      <c r="T821" s="54" t="e">
        <f>VLOOKUP(A821,[1]인포맥스!$A:$I,9,0)</f>
        <v>#N/A</v>
      </c>
      <c r="U821" s="70" t="e">
        <f t="shared" si="64"/>
        <v>#N/A</v>
      </c>
    </row>
    <row r="822" spans="1:21" x14ac:dyDescent="0.25">
      <c r="A822" s="3">
        <v>19418</v>
      </c>
      <c r="B822" s="29" t="e">
        <f>NA()</f>
        <v>#N/A</v>
      </c>
      <c r="C822" s="29" t="e">
        <v>#N/A</v>
      </c>
      <c r="D822" s="50">
        <f>55.4</f>
        <v>55.4</v>
      </c>
      <c r="E822" s="30">
        <v>55.4</v>
      </c>
      <c r="F822" s="29" t="e">
        <f>NA()</f>
        <v>#N/A</v>
      </c>
      <c r="G822" s="31" t="e">
        <v>#N/A</v>
      </c>
      <c r="H822" s="51" t="e">
        <f t="shared" si="61"/>
        <v>#N/A</v>
      </c>
      <c r="I822" s="29" t="e">
        <f>NA()</f>
        <v>#N/A</v>
      </c>
      <c r="J822" s="31" t="e">
        <v>#N/A</v>
      </c>
      <c r="K822" s="51" t="e">
        <f t="shared" si="62"/>
        <v>#N/A</v>
      </c>
      <c r="L822" s="29" t="e">
        <f>NA()</f>
        <v>#N/A</v>
      </c>
      <c r="M822" s="30" t="e">
        <v>#N/A</v>
      </c>
      <c r="N822" s="29" t="e">
        <f>NA()</f>
        <v>#N/A</v>
      </c>
      <c r="O822" s="29" t="e">
        <v>#N/A</v>
      </c>
      <c r="P822" s="51" t="e">
        <f t="shared" si="60"/>
        <v>#N/A</v>
      </c>
      <c r="Q822" s="29" t="e">
        <f>NA()</f>
        <v>#N/A</v>
      </c>
      <c r="R822" s="43" t="e">
        <v>#N/A</v>
      </c>
      <c r="S822" s="32" t="e">
        <f t="shared" si="63"/>
        <v>#N/A</v>
      </c>
      <c r="T822" s="54" t="e">
        <f>VLOOKUP(A822,[1]인포맥스!$A:$I,9,0)</f>
        <v>#N/A</v>
      </c>
      <c r="U822" s="70" t="e">
        <f t="shared" si="64"/>
        <v>#N/A</v>
      </c>
    </row>
    <row r="823" spans="1:21" x14ac:dyDescent="0.25">
      <c r="A823" s="3">
        <v>19390</v>
      </c>
      <c r="B823" s="29" t="e">
        <f>NA()</f>
        <v>#N/A</v>
      </c>
      <c r="C823" s="29" t="e">
        <v>#N/A</v>
      </c>
      <c r="D823" s="50">
        <f>59.4</f>
        <v>59.4</v>
      </c>
      <c r="E823" s="30">
        <v>59.4</v>
      </c>
      <c r="F823" s="29" t="e">
        <f>NA()</f>
        <v>#N/A</v>
      </c>
      <c r="G823" s="31" t="e">
        <v>#N/A</v>
      </c>
      <c r="H823" s="51" t="e">
        <f t="shared" si="61"/>
        <v>#N/A</v>
      </c>
      <c r="I823" s="29" t="e">
        <f>NA()</f>
        <v>#N/A</v>
      </c>
      <c r="J823" s="31" t="e">
        <v>#N/A</v>
      </c>
      <c r="K823" s="51" t="e">
        <f t="shared" si="62"/>
        <v>#N/A</v>
      </c>
      <c r="L823" s="29" t="e">
        <f>NA()</f>
        <v>#N/A</v>
      </c>
      <c r="M823" s="30" t="e">
        <v>#N/A</v>
      </c>
      <c r="N823" s="29" t="e">
        <f>NA()</f>
        <v>#N/A</v>
      </c>
      <c r="O823" s="29" t="e">
        <v>#N/A</v>
      </c>
      <c r="P823" s="51" t="e">
        <f t="shared" si="60"/>
        <v>#N/A</v>
      </c>
      <c r="Q823" s="29" t="e">
        <f>NA()</f>
        <v>#N/A</v>
      </c>
      <c r="R823" s="43" t="e">
        <v>#N/A</v>
      </c>
      <c r="S823" s="32" t="e">
        <f t="shared" si="63"/>
        <v>#N/A</v>
      </c>
      <c r="T823" s="54" t="e">
        <f>VLOOKUP(A823,[1]인포맥스!$A:$I,9,0)</f>
        <v>#N/A</v>
      </c>
      <c r="U823" s="70" t="e">
        <f t="shared" si="64"/>
        <v>#N/A</v>
      </c>
    </row>
    <row r="824" spans="1:21" x14ac:dyDescent="0.25">
      <c r="A824" s="3">
        <v>19359</v>
      </c>
      <c r="B824" s="29" t="e">
        <f>NA()</f>
        <v>#N/A</v>
      </c>
      <c r="C824" s="29" t="e">
        <v>#N/A</v>
      </c>
      <c r="D824" s="50">
        <f>55.8</f>
        <v>55.8</v>
      </c>
      <c r="E824" s="30">
        <v>55.8</v>
      </c>
      <c r="F824" s="29" t="e">
        <f>NA()</f>
        <v>#N/A</v>
      </c>
      <c r="G824" s="31" t="e">
        <v>#N/A</v>
      </c>
      <c r="H824" s="51" t="e">
        <f t="shared" si="61"/>
        <v>#N/A</v>
      </c>
      <c r="I824" s="29" t="e">
        <f>NA()</f>
        <v>#N/A</v>
      </c>
      <c r="J824" s="31" t="e">
        <v>#N/A</v>
      </c>
      <c r="K824" s="51" t="e">
        <f t="shared" si="62"/>
        <v>#N/A</v>
      </c>
      <c r="L824" s="29" t="e">
        <f>NA()</f>
        <v>#N/A</v>
      </c>
      <c r="M824" s="30" t="e">
        <v>#N/A</v>
      </c>
      <c r="N824" s="29" t="e">
        <f>NA()</f>
        <v>#N/A</v>
      </c>
      <c r="O824" s="29" t="e">
        <v>#N/A</v>
      </c>
      <c r="P824" s="51" t="e">
        <f t="shared" si="60"/>
        <v>#N/A</v>
      </c>
      <c r="Q824" s="29" t="e">
        <f>NA()</f>
        <v>#N/A</v>
      </c>
      <c r="R824" s="43" t="e">
        <v>#N/A</v>
      </c>
      <c r="S824" s="32" t="e">
        <f t="shared" si="63"/>
        <v>#N/A</v>
      </c>
      <c r="T824" s="54" t="e">
        <f>VLOOKUP(A824,[1]인포맥스!$A:$I,9,0)</f>
        <v>#N/A</v>
      </c>
      <c r="U824" s="70" t="e">
        <f t="shared" si="64"/>
        <v>#N/A</v>
      </c>
    </row>
    <row r="825" spans="1:21" x14ac:dyDescent="0.25">
      <c r="A825" s="3">
        <v>19328</v>
      </c>
      <c r="B825" s="29" t="e">
        <f>NA()</f>
        <v>#N/A</v>
      </c>
      <c r="C825" s="29" t="e">
        <v>#N/A</v>
      </c>
      <c r="D825" s="50">
        <f>56.8</f>
        <v>56.8</v>
      </c>
      <c r="E825" s="30">
        <v>56.8</v>
      </c>
      <c r="F825" s="29" t="e">
        <f>NA()</f>
        <v>#N/A</v>
      </c>
      <c r="G825" s="31" t="e">
        <v>#N/A</v>
      </c>
      <c r="H825" s="51" t="e">
        <f t="shared" si="61"/>
        <v>#N/A</v>
      </c>
      <c r="I825" s="29" t="e">
        <f>NA()</f>
        <v>#N/A</v>
      </c>
      <c r="J825" s="31" t="e">
        <v>#N/A</v>
      </c>
      <c r="K825" s="51" t="e">
        <f t="shared" si="62"/>
        <v>#N/A</v>
      </c>
      <c r="L825" s="29" t="e">
        <f>NA()</f>
        <v>#N/A</v>
      </c>
      <c r="M825" s="30" t="e">
        <v>#N/A</v>
      </c>
      <c r="N825" s="29" t="e">
        <f>NA()</f>
        <v>#N/A</v>
      </c>
      <c r="O825" s="29" t="e">
        <v>#N/A</v>
      </c>
      <c r="P825" s="51" t="e">
        <f t="shared" si="60"/>
        <v>#N/A</v>
      </c>
      <c r="Q825" s="29" t="e">
        <f>NA()</f>
        <v>#N/A</v>
      </c>
      <c r="R825" s="43" t="e">
        <v>#N/A</v>
      </c>
      <c r="S825" s="32" t="e">
        <f t="shared" si="63"/>
        <v>#N/A</v>
      </c>
      <c r="T825" s="54" t="e">
        <f>VLOOKUP(A825,[1]인포맥스!$A:$I,9,0)</f>
        <v>#N/A</v>
      </c>
      <c r="U825" s="70" t="e">
        <f t="shared" si="64"/>
        <v>#N/A</v>
      </c>
    </row>
    <row r="826" spans="1:21" x14ac:dyDescent="0.25">
      <c r="A826" s="3">
        <v>19298</v>
      </c>
      <c r="B826" s="29" t="e">
        <f>NA()</f>
        <v>#N/A</v>
      </c>
      <c r="C826" s="29" t="e">
        <v>#N/A</v>
      </c>
      <c r="D826" s="50">
        <f>56.2</f>
        <v>56.2</v>
      </c>
      <c r="E826" s="30">
        <v>56.2</v>
      </c>
      <c r="F826" s="29" t="e">
        <f>NA()</f>
        <v>#N/A</v>
      </c>
      <c r="G826" s="31" t="e">
        <v>#N/A</v>
      </c>
      <c r="H826" s="51" t="e">
        <f t="shared" si="61"/>
        <v>#N/A</v>
      </c>
      <c r="I826" s="29" t="e">
        <f>NA()</f>
        <v>#N/A</v>
      </c>
      <c r="J826" s="31" t="e">
        <v>#N/A</v>
      </c>
      <c r="K826" s="51" t="e">
        <f t="shared" si="62"/>
        <v>#N/A</v>
      </c>
      <c r="L826" s="29" t="e">
        <f>NA()</f>
        <v>#N/A</v>
      </c>
      <c r="M826" s="30" t="e">
        <v>#N/A</v>
      </c>
      <c r="N826" s="29" t="e">
        <f>NA()</f>
        <v>#N/A</v>
      </c>
      <c r="O826" s="29" t="e">
        <v>#N/A</v>
      </c>
      <c r="P826" s="51" t="e">
        <f t="shared" si="60"/>
        <v>#N/A</v>
      </c>
      <c r="Q826" s="29" t="e">
        <f>NA()</f>
        <v>#N/A</v>
      </c>
      <c r="R826" s="43" t="e">
        <v>#N/A</v>
      </c>
      <c r="S826" s="32" t="e">
        <f t="shared" si="63"/>
        <v>#N/A</v>
      </c>
      <c r="T826" s="54" t="e">
        <f>VLOOKUP(A826,[1]인포맥스!$A:$I,9,0)</f>
        <v>#N/A</v>
      </c>
      <c r="U826" s="70" t="e">
        <f t="shared" si="64"/>
        <v>#N/A</v>
      </c>
    </row>
    <row r="827" spans="1:21" x14ac:dyDescent="0.25">
      <c r="A827" s="3">
        <v>19267</v>
      </c>
      <c r="B827" s="29" t="e">
        <f>NA()</f>
        <v>#N/A</v>
      </c>
      <c r="C827" s="29" t="e">
        <v>#N/A</v>
      </c>
      <c r="D827" s="50">
        <f>56.1</f>
        <v>56.1</v>
      </c>
      <c r="E827" s="30">
        <v>56.1</v>
      </c>
      <c r="F827" s="29" t="e">
        <f>NA()</f>
        <v>#N/A</v>
      </c>
      <c r="G827" s="31" t="e">
        <v>#N/A</v>
      </c>
      <c r="H827" s="51" t="e">
        <f t="shared" si="61"/>
        <v>#N/A</v>
      </c>
      <c r="I827" s="29" t="e">
        <f>NA()</f>
        <v>#N/A</v>
      </c>
      <c r="J827" s="31" t="e">
        <v>#N/A</v>
      </c>
      <c r="K827" s="51" t="e">
        <f t="shared" si="62"/>
        <v>#N/A</v>
      </c>
      <c r="L827" s="29" t="e">
        <f>NA()</f>
        <v>#N/A</v>
      </c>
      <c r="M827" s="30" t="e">
        <v>#N/A</v>
      </c>
      <c r="N827" s="29" t="e">
        <f>NA()</f>
        <v>#N/A</v>
      </c>
      <c r="O827" s="29" t="e">
        <v>#N/A</v>
      </c>
      <c r="P827" s="51" t="e">
        <f t="shared" si="60"/>
        <v>#N/A</v>
      </c>
      <c r="Q827" s="29" t="e">
        <f>NA()</f>
        <v>#N/A</v>
      </c>
      <c r="R827" s="43" t="e">
        <v>#N/A</v>
      </c>
      <c r="S827" s="32" t="e">
        <f t="shared" si="63"/>
        <v>#N/A</v>
      </c>
      <c r="T827" s="54" t="e">
        <f>VLOOKUP(A827,[1]인포맥스!$A:$I,9,0)</f>
        <v>#N/A</v>
      </c>
      <c r="U827" s="70" t="e">
        <f t="shared" si="64"/>
        <v>#N/A</v>
      </c>
    </row>
    <row r="828" spans="1:21" x14ac:dyDescent="0.25">
      <c r="A828" s="3">
        <v>19237</v>
      </c>
      <c r="B828" s="29" t="e">
        <f>NA()</f>
        <v>#N/A</v>
      </c>
      <c r="C828" s="29" t="e">
        <v>#N/A</v>
      </c>
      <c r="D828" s="50">
        <f>60.4</f>
        <v>60.4</v>
      </c>
      <c r="E828" s="30">
        <v>60.4</v>
      </c>
      <c r="F828" s="29" t="e">
        <f>NA()</f>
        <v>#N/A</v>
      </c>
      <c r="G828" s="31" t="e">
        <v>#N/A</v>
      </c>
      <c r="H828" s="51" t="e">
        <f t="shared" si="61"/>
        <v>#N/A</v>
      </c>
      <c r="I828" s="29" t="e">
        <f>NA()</f>
        <v>#N/A</v>
      </c>
      <c r="J828" s="31" t="e">
        <v>#N/A</v>
      </c>
      <c r="K828" s="51" t="e">
        <f t="shared" si="62"/>
        <v>#N/A</v>
      </c>
      <c r="L828" s="29" t="e">
        <f>NA()</f>
        <v>#N/A</v>
      </c>
      <c r="M828" s="30" t="e">
        <v>#N/A</v>
      </c>
      <c r="N828" s="29" t="e">
        <f>NA()</f>
        <v>#N/A</v>
      </c>
      <c r="O828" s="29" t="e">
        <v>#N/A</v>
      </c>
      <c r="P828" s="51" t="e">
        <f t="shared" si="60"/>
        <v>#N/A</v>
      </c>
      <c r="Q828" s="29" t="e">
        <f>NA()</f>
        <v>#N/A</v>
      </c>
      <c r="R828" s="43" t="e">
        <v>#N/A</v>
      </c>
      <c r="S828" s="32" t="e">
        <f t="shared" si="63"/>
        <v>#N/A</v>
      </c>
      <c r="T828" s="54" t="e">
        <f>VLOOKUP(A828,[1]인포맥스!$A:$I,9,0)</f>
        <v>#N/A</v>
      </c>
      <c r="U828" s="70" t="e">
        <f t="shared" si="64"/>
        <v>#N/A</v>
      </c>
    </row>
    <row r="829" spans="1:21" x14ac:dyDescent="0.25">
      <c r="A829" s="3">
        <v>19206</v>
      </c>
      <c r="B829" s="29" t="e">
        <f>NA()</f>
        <v>#N/A</v>
      </c>
      <c r="C829" s="29" t="e">
        <v>#N/A</v>
      </c>
      <c r="D829" s="50">
        <f>48.3</f>
        <v>48.3</v>
      </c>
      <c r="E829" s="30">
        <v>48.3</v>
      </c>
      <c r="F829" s="29" t="e">
        <f>NA()</f>
        <v>#N/A</v>
      </c>
      <c r="G829" s="31" t="e">
        <v>#N/A</v>
      </c>
      <c r="H829" s="51" t="e">
        <f t="shared" si="61"/>
        <v>#N/A</v>
      </c>
      <c r="I829" s="29" t="e">
        <f>NA()</f>
        <v>#N/A</v>
      </c>
      <c r="J829" s="31" t="e">
        <v>#N/A</v>
      </c>
      <c r="K829" s="51" t="e">
        <f t="shared" si="62"/>
        <v>#N/A</v>
      </c>
      <c r="L829" s="29" t="e">
        <f>NA()</f>
        <v>#N/A</v>
      </c>
      <c r="M829" s="30" t="e">
        <v>#N/A</v>
      </c>
      <c r="N829" s="29" t="e">
        <f>NA()</f>
        <v>#N/A</v>
      </c>
      <c r="O829" s="29" t="e">
        <v>#N/A</v>
      </c>
      <c r="P829" s="51" t="e">
        <f t="shared" si="60"/>
        <v>#N/A</v>
      </c>
      <c r="Q829" s="29" t="e">
        <f>NA()</f>
        <v>#N/A</v>
      </c>
      <c r="R829" s="43" t="e">
        <v>#N/A</v>
      </c>
      <c r="S829" s="32" t="e">
        <f t="shared" si="63"/>
        <v>#N/A</v>
      </c>
      <c r="T829" s="54" t="e">
        <f>VLOOKUP(A829,[1]인포맥스!$A:$I,9,0)</f>
        <v>#N/A</v>
      </c>
      <c r="U829" s="70" t="e">
        <f t="shared" si="64"/>
        <v>#N/A</v>
      </c>
    </row>
    <row r="830" spans="1:21" x14ac:dyDescent="0.25">
      <c r="A830" s="3">
        <v>19175</v>
      </c>
      <c r="B830" s="29" t="e">
        <f>NA()</f>
        <v>#N/A</v>
      </c>
      <c r="C830" s="29" t="e">
        <v>#N/A</v>
      </c>
      <c r="D830" s="50">
        <f>43.3</f>
        <v>43.3</v>
      </c>
      <c r="E830" s="30">
        <v>43.3</v>
      </c>
      <c r="F830" s="29" t="e">
        <f>NA()</f>
        <v>#N/A</v>
      </c>
      <c r="G830" s="31" t="e">
        <v>#N/A</v>
      </c>
      <c r="H830" s="51" t="e">
        <f t="shared" si="61"/>
        <v>#N/A</v>
      </c>
      <c r="I830" s="29" t="e">
        <f>NA()</f>
        <v>#N/A</v>
      </c>
      <c r="J830" s="31" t="e">
        <v>#N/A</v>
      </c>
      <c r="K830" s="51" t="e">
        <f t="shared" si="62"/>
        <v>#N/A</v>
      </c>
      <c r="L830" s="29" t="e">
        <f>NA()</f>
        <v>#N/A</v>
      </c>
      <c r="M830" s="30" t="e">
        <v>#N/A</v>
      </c>
      <c r="N830" s="29" t="e">
        <f>NA()</f>
        <v>#N/A</v>
      </c>
      <c r="O830" s="29" t="e">
        <v>#N/A</v>
      </c>
      <c r="P830" s="51" t="e">
        <f t="shared" si="60"/>
        <v>#N/A</v>
      </c>
      <c r="Q830" s="29" t="e">
        <f>NA()</f>
        <v>#N/A</v>
      </c>
      <c r="R830" s="43" t="e">
        <v>#N/A</v>
      </c>
      <c r="S830" s="32" t="e">
        <f t="shared" si="63"/>
        <v>#N/A</v>
      </c>
      <c r="T830" s="54" t="e">
        <f>VLOOKUP(A830,[1]인포맥스!$A:$I,9,0)</f>
        <v>#N/A</v>
      </c>
      <c r="U830" s="70" t="e">
        <f t="shared" si="64"/>
        <v>#N/A</v>
      </c>
    </row>
    <row r="831" spans="1:21" x14ac:dyDescent="0.25">
      <c r="A831" s="3">
        <v>19145</v>
      </c>
      <c r="B831" s="29" t="e">
        <f>NA()</f>
        <v>#N/A</v>
      </c>
      <c r="C831" s="29" t="e">
        <v>#N/A</v>
      </c>
      <c r="D831" s="50">
        <f>39.5</f>
        <v>39.5</v>
      </c>
      <c r="E831" s="30">
        <v>39.5</v>
      </c>
      <c r="F831" s="29" t="e">
        <f>NA()</f>
        <v>#N/A</v>
      </c>
      <c r="G831" s="31" t="e">
        <v>#N/A</v>
      </c>
      <c r="H831" s="51" t="e">
        <f t="shared" si="61"/>
        <v>#N/A</v>
      </c>
      <c r="I831" s="29" t="e">
        <f>NA()</f>
        <v>#N/A</v>
      </c>
      <c r="J831" s="31" t="e">
        <v>#N/A</v>
      </c>
      <c r="K831" s="51" t="e">
        <f t="shared" si="62"/>
        <v>#N/A</v>
      </c>
      <c r="L831" s="29" t="e">
        <f>NA()</f>
        <v>#N/A</v>
      </c>
      <c r="M831" s="30" t="e">
        <v>#N/A</v>
      </c>
      <c r="N831" s="29" t="e">
        <f>NA()</f>
        <v>#N/A</v>
      </c>
      <c r="O831" s="29" t="e">
        <v>#N/A</v>
      </c>
      <c r="P831" s="51" t="e">
        <f t="shared" si="60"/>
        <v>#N/A</v>
      </c>
      <c r="Q831" s="29" t="e">
        <f>NA()</f>
        <v>#N/A</v>
      </c>
      <c r="R831" s="43" t="e">
        <v>#N/A</v>
      </c>
      <c r="S831" s="32" t="e">
        <f t="shared" si="63"/>
        <v>#N/A</v>
      </c>
      <c r="T831" s="54" t="e">
        <f>VLOOKUP(A831,[1]인포맥스!$A:$I,9,0)</f>
        <v>#N/A</v>
      </c>
      <c r="U831" s="70" t="e">
        <f t="shared" si="64"/>
        <v>#N/A</v>
      </c>
    </row>
    <row r="832" spans="1:21" x14ac:dyDescent="0.25">
      <c r="A832" s="3">
        <v>19114</v>
      </c>
      <c r="B832" s="29" t="e">
        <f>NA()</f>
        <v>#N/A</v>
      </c>
      <c r="C832" s="29" t="e">
        <v>#N/A</v>
      </c>
      <c r="D832" s="50">
        <f>36.7</f>
        <v>36.700000000000003</v>
      </c>
      <c r="E832" s="30">
        <v>36.700000000000003</v>
      </c>
      <c r="F832" s="29" t="e">
        <f>NA()</f>
        <v>#N/A</v>
      </c>
      <c r="G832" s="31" t="e">
        <v>#N/A</v>
      </c>
      <c r="H832" s="51" t="e">
        <f t="shared" si="61"/>
        <v>#N/A</v>
      </c>
      <c r="I832" s="29" t="e">
        <f>NA()</f>
        <v>#N/A</v>
      </c>
      <c r="J832" s="31" t="e">
        <v>#N/A</v>
      </c>
      <c r="K832" s="51" t="e">
        <f t="shared" si="62"/>
        <v>#N/A</v>
      </c>
      <c r="L832" s="29" t="e">
        <f>NA()</f>
        <v>#N/A</v>
      </c>
      <c r="M832" s="30" t="e">
        <v>#N/A</v>
      </c>
      <c r="N832" s="29" t="e">
        <f>NA()</f>
        <v>#N/A</v>
      </c>
      <c r="O832" s="29" t="e">
        <v>#N/A</v>
      </c>
      <c r="P832" s="51" t="e">
        <f t="shared" si="60"/>
        <v>#N/A</v>
      </c>
      <c r="Q832" s="29" t="e">
        <f>NA()</f>
        <v>#N/A</v>
      </c>
      <c r="R832" s="43" t="e">
        <v>#N/A</v>
      </c>
      <c r="S832" s="32" t="e">
        <f t="shared" si="63"/>
        <v>#N/A</v>
      </c>
      <c r="T832" s="54" t="e">
        <f>VLOOKUP(A832,[1]인포맥스!$A:$I,9,0)</f>
        <v>#N/A</v>
      </c>
      <c r="U832" s="70" t="e">
        <f t="shared" si="64"/>
        <v>#N/A</v>
      </c>
    </row>
    <row r="833" spans="1:21" x14ac:dyDescent="0.25">
      <c r="A833" s="3">
        <v>19084</v>
      </c>
      <c r="B833" s="29" t="e">
        <f>NA()</f>
        <v>#N/A</v>
      </c>
      <c r="C833" s="29" t="e">
        <v>#N/A</v>
      </c>
      <c r="D833" s="50">
        <f>40</f>
        <v>40</v>
      </c>
      <c r="E833" s="30">
        <v>40</v>
      </c>
      <c r="F833" s="29" t="e">
        <f>NA()</f>
        <v>#N/A</v>
      </c>
      <c r="G833" s="31" t="e">
        <v>#N/A</v>
      </c>
      <c r="H833" s="51" t="e">
        <f t="shared" si="61"/>
        <v>#N/A</v>
      </c>
      <c r="I833" s="29" t="e">
        <f>NA()</f>
        <v>#N/A</v>
      </c>
      <c r="J833" s="31" t="e">
        <v>#N/A</v>
      </c>
      <c r="K833" s="51" t="e">
        <f t="shared" si="62"/>
        <v>#N/A</v>
      </c>
      <c r="L833" s="29" t="e">
        <f>NA()</f>
        <v>#N/A</v>
      </c>
      <c r="M833" s="30" t="e">
        <v>#N/A</v>
      </c>
      <c r="N833" s="29" t="e">
        <f>NA()</f>
        <v>#N/A</v>
      </c>
      <c r="O833" s="29" t="e">
        <v>#N/A</v>
      </c>
      <c r="P833" s="51" t="e">
        <f t="shared" si="60"/>
        <v>#N/A</v>
      </c>
      <c r="Q833" s="29" t="e">
        <f>NA()</f>
        <v>#N/A</v>
      </c>
      <c r="R833" s="43" t="e">
        <v>#N/A</v>
      </c>
      <c r="S833" s="32" t="e">
        <f t="shared" si="63"/>
        <v>#N/A</v>
      </c>
      <c r="T833" s="54" t="e">
        <f>VLOOKUP(A833,[1]인포맥스!$A:$I,9,0)</f>
        <v>#N/A</v>
      </c>
      <c r="U833" s="70" t="e">
        <f t="shared" si="64"/>
        <v>#N/A</v>
      </c>
    </row>
    <row r="834" spans="1:21" x14ac:dyDescent="0.25">
      <c r="A834" s="3">
        <v>19053</v>
      </c>
      <c r="B834" s="29" t="e">
        <f>NA()</f>
        <v>#N/A</v>
      </c>
      <c r="C834" s="29" t="e">
        <v>#N/A</v>
      </c>
      <c r="D834" s="50">
        <f>41.8</f>
        <v>41.8</v>
      </c>
      <c r="E834" s="30">
        <v>41.8</v>
      </c>
      <c r="F834" s="29" t="e">
        <f>NA()</f>
        <v>#N/A</v>
      </c>
      <c r="G834" s="31" t="e">
        <v>#N/A</v>
      </c>
      <c r="H834" s="51" t="e">
        <f t="shared" si="61"/>
        <v>#N/A</v>
      </c>
      <c r="I834" s="29" t="e">
        <f>NA()</f>
        <v>#N/A</v>
      </c>
      <c r="J834" s="31" t="e">
        <v>#N/A</v>
      </c>
      <c r="K834" s="51" t="e">
        <f t="shared" si="62"/>
        <v>#N/A</v>
      </c>
      <c r="L834" s="29" t="e">
        <f>NA()</f>
        <v>#N/A</v>
      </c>
      <c r="M834" s="30" t="e">
        <v>#N/A</v>
      </c>
      <c r="N834" s="29" t="e">
        <f>NA()</f>
        <v>#N/A</v>
      </c>
      <c r="O834" s="29" t="e">
        <v>#N/A</v>
      </c>
      <c r="P834" s="51" t="e">
        <f t="shared" si="60"/>
        <v>#N/A</v>
      </c>
      <c r="Q834" s="29" t="e">
        <f>NA()</f>
        <v>#N/A</v>
      </c>
      <c r="R834" s="43" t="e">
        <v>#N/A</v>
      </c>
      <c r="S834" s="32" t="e">
        <f t="shared" si="63"/>
        <v>#N/A</v>
      </c>
      <c r="T834" s="54" t="e">
        <f>VLOOKUP(A834,[1]인포맥스!$A:$I,9,0)</f>
        <v>#N/A</v>
      </c>
      <c r="U834" s="70" t="e">
        <f t="shared" si="64"/>
        <v>#N/A</v>
      </c>
    </row>
    <row r="835" spans="1:21" x14ac:dyDescent="0.25">
      <c r="A835" s="3">
        <v>19024</v>
      </c>
      <c r="B835" s="29" t="e">
        <f>NA()</f>
        <v>#N/A</v>
      </c>
      <c r="C835" s="29" t="e">
        <v>#N/A</v>
      </c>
      <c r="D835" s="50">
        <f>44.7</f>
        <v>44.7</v>
      </c>
      <c r="E835" s="30">
        <v>44.7</v>
      </c>
      <c r="F835" s="29" t="e">
        <f>NA()</f>
        <v>#N/A</v>
      </c>
      <c r="G835" s="31" t="e">
        <v>#N/A</v>
      </c>
      <c r="H835" s="51" t="e">
        <f t="shared" si="61"/>
        <v>#N/A</v>
      </c>
      <c r="I835" s="29" t="e">
        <f>NA()</f>
        <v>#N/A</v>
      </c>
      <c r="J835" s="31" t="e">
        <v>#N/A</v>
      </c>
      <c r="K835" s="51" t="e">
        <f t="shared" si="62"/>
        <v>#N/A</v>
      </c>
      <c r="L835" s="29" t="e">
        <f>NA()</f>
        <v>#N/A</v>
      </c>
      <c r="M835" s="30" t="e">
        <v>#N/A</v>
      </c>
      <c r="N835" s="29" t="e">
        <f>NA()</f>
        <v>#N/A</v>
      </c>
      <c r="O835" s="29" t="e">
        <v>#N/A</v>
      </c>
      <c r="P835" s="51" t="e">
        <f t="shared" si="60"/>
        <v>#N/A</v>
      </c>
      <c r="Q835" s="29" t="e">
        <f>NA()</f>
        <v>#N/A</v>
      </c>
      <c r="R835" s="43" t="e">
        <v>#N/A</v>
      </c>
      <c r="S835" s="32" t="e">
        <f t="shared" si="63"/>
        <v>#N/A</v>
      </c>
      <c r="T835" s="54" t="e">
        <f>VLOOKUP(A835,[1]인포맥스!$A:$I,9,0)</f>
        <v>#N/A</v>
      </c>
      <c r="U835" s="70" t="e">
        <f t="shared" si="64"/>
        <v>#N/A</v>
      </c>
    </row>
    <row r="836" spans="1:21" x14ac:dyDescent="0.25">
      <c r="A836" s="3">
        <v>18993</v>
      </c>
      <c r="B836" s="29" t="e">
        <f>NA()</f>
        <v>#N/A</v>
      </c>
      <c r="C836" s="29" t="e">
        <v>#N/A</v>
      </c>
      <c r="D836" s="50">
        <f>46.5</f>
        <v>46.5</v>
      </c>
      <c r="E836" s="30">
        <v>46.5</v>
      </c>
      <c r="F836" s="29" t="e">
        <f>NA()</f>
        <v>#N/A</v>
      </c>
      <c r="G836" s="31" t="e">
        <v>#N/A</v>
      </c>
      <c r="H836" s="51" t="e">
        <f t="shared" si="61"/>
        <v>#N/A</v>
      </c>
      <c r="I836" s="29" t="e">
        <f>NA()</f>
        <v>#N/A</v>
      </c>
      <c r="J836" s="31" t="e">
        <v>#N/A</v>
      </c>
      <c r="K836" s="51" t="e">
        <f t="shared" si="62"/>
        <v>#N/A</v>
      </c>
      <c r="L836" s="29" t="e">
        <f>NA()</f>
        <v>#N/A</v>
      </c>
      <c r="M836" s="30" t="e">
        <v>#N/A</v>
      </c>
      <c r="N836" s="29" t="e">
        <f>NA()</f>
        <v>#N/A</v>
      </c>
      <c r="O836" s="29" t="e">
        <v>#N/A</v>
      </c>
      <c r="P836" s="51" t="e">
        <f t="shared" si="60"/>
        <v>#N/A</v>
      </c>
      <c r="Q836" s="29" t="e">
        <f>NA()</f>
        <v>#N/A</v>
      </c>
      <c r="R836" s="43" t="e">
        <v>#N/A</v>
      </c>
      <c r="S836" s="32" t="e">
        <f t="shared" si="63"/>
        <v>#N/A</v>
      </c>
      <c r="T836" s="54" t="e">
        <f>VLOOKUP(A836,[1]인포맥스!$A:$I,9,0)</f>
        <v>#N/A</v>
      </c>
      <c r="U836" s="70" t="e">
        <f t="shared" si="64"/>
        <v>#N/A</v>
      </c>
    </row>
    <row r="837" spans="1:21" x14ac:dyDescent="0.25">
      <c r="A837" s="3">
        <v>18962</v>
      </c>
      <c r="B837" s="29" t="e">
        <f>NA()</f>
        <v>#N/A</v>
      </c>
      <c r="C837" s="29" t="e">
        <v>#N/A</v>
      </c>
      <c r="D837" s="50">
        <f>47.2</f>
        <v>47.2</v>
      </c>
      <c r="E837" s="30">
        <v>47.2</v>
      </c>
      <c r="F837" s="29" t="e">
        <f>NA()</f>
        <v>#N/A</v>
      </c>
      <c r="G837" s="31" t="e">
        <v>#N/A</v>
      </c>
      <c r="H837" s="51" t="e">
        <f t="shared" si="61"/>
        <v>#N/A</v>
      </c>
      <c r="I837" s="29" t="e">
        <f>NA()</f>
        <v>#N/A</v>
      </c>
      <c r="J837" s="31" t="e">
        <v>#N/A</v>
      </c>
      <c r="K837" s="51" t="e">
        <f t="shared" si="62"/>
        <v>#N/A</v>
      </c>
      <c r="L837" s="29" t="e">
        <f>NA()</f>
        <v>#N/A</v>
      </c>
      <c r="M837" s="30" t="e">
        <v>#N/A</v>
      </c>
      <c r="N837" s="29" t="e">
        <f>NA()</f>
        <v>#N/A</v>
      </c>
      <c r="O837" s="29" t="e">
        <v>#N/A</v>
      </c>
      <c r="P837" s="51" t="e">
        <f t="shared" ref="P837:P883" si="65">(O837-O849)/O849</f>
        <v>#N/A</v>
      </c>
      <c r="Q837" s="29" t="e">
        <f>NA()</f>
        <v>#N/A</v>
      </c>
      <c r="R837" s="43" t="e">
        <v>#N/A</v>
      </c>
      <c r="S837" s="32" t="e">
        <f t="shared" si="63"/>
        <v>#N/A</v>
      </c>
      <c r="T837" s="54" t="e">
        <f>VLOOKUP(A837,[1]인포맥스!$A:$I,9,0)</f>
        <v>#N/A</v>
      </c>
      <c r="U837" s="70" t="e">
        <f t="shared" si="64"/>
        <v>#N/A</v>
      </c>
    </row>
    <row r="838" spans="1:21" x14ac:dyDescent="0.25">
      <c r="A838" s="3">
        <v>18932</v>
      </c>
      <c r="B838" s="29" t="e">
        <f>NA()</f>
        <v>#N/A</v>
      </c>
      <c r="C838" s="29" t="e">
        <v>#N/A</v>
      </c>
      <c r="D838" s="50">
        <f>49.6</f>
        <v>49.6</v>
      </c>
      <c r="E838" s="30">
        <v>49.6</v>
      </c>
      <c r="F838" s="29" t="e">
        <f>NA()</f>
        <v>#N/A</v>
      </c>
      <c r="G838" s="31" t="e">
        <v>#N/A</v>
      </c>
      <c r="H838" s="51" t="e">
        <f t="shared" ref="H838:H883" si="66">(G838-G850)/G850</f>
        <v>#N/A</v>
      </c>
      <c r="I838" s="29" t="e">
        <f>NA()</f>
        <v>#N/A</v>
      </c>
      <c r="J838" s="31" t="e">
        <v>#N/A</v>
      </c>
      <c r="K838" s="51" t="e">
        <f t="shared" ref="K838:K883" si="67">(J838-J850)/J850</f>
        <v>#N/A</v>
      </c>
      <c r="L838" s="29" t="e">
        <f>NA()</f>
        <v>#N/A</v>
      </c>
      <c r="M838" s="30" t="e">
        <v>#N/A</v>
      </c>
      <c r="N838" s="29" t="e">
        <f>NA()</f>
        <v>#N/A</v>
      </c>
      <c r="O838" s="29" t="e">
        <v>#N/A</v>
      </c>
      <c r="P838" s="51" t="e">
        <f t="shared" si="65"/>
        <v>#N/A</v>
      </c>
      <c r="Q838" s="29" t="e">
        <f>NA()</f>
        <v>#N/A</v>
      </c>
      <c r="R838" s="43" t="e">
        <v>#N/A</v>
      </c>
      <c r="S838" s="32" t="e">
        <f t="shared" ref="S838:S883" si="68">(R838-R850)/R850</f>
        <v>#N/A</v>
      </c>
      <c r="T838" s="54" t="e">
        <f>VLOOKUP(A838,[1]인포맥스!$A:$I,9,0)</f>
        <v>#N/A</v>
      </c>
      <c r="U838" s="70" t="e">
        <f t="shared" ref="U838:U883" si="69">(T838-T850)/T850</f>
        <v>#N/A</v>
      </c>
    </row>
    <row r="839" spans="1:21" x14ac:dyDescent="0.25">
      <c r="A839" s="3">
        <v>18901</v>
      </c>
      <c r="B839" s="29" t="e">
        <f>NA()</f>
        <v>#N/A</v>
      </c>
      <c r="C839" s="29" t="e">
        <v>#N/A</v>
      </c>
      <c r="D839" s="50">
        <f>48.1</f>
        <v>48.1</v>
      </c>
      <c r="E839" s="30">
        <v>48.1</v>
      </c>
      <c r="F839" s="29" t="e">
        <f>NA()</f>
        <v>#N/A</v>
      </c>
      <c r="G839" s="31" t="e">
        <v>#N/A</v>
      </c>
      <c r="H839" s="51" t="e">
        <f t="shared" si="66"/>
        <v>#N/A</v>
      </c>
      <c r="I839" s="29" t="e">
        <f>NA()</f>
        <v>#N/A</v>
      </c>
      <c r="J839" s="31" t="e">
        <v>#N/A</v>
      </c>
      <c r="K839" s="51" t="e">
        <f t="shared" si="67"/>
        <v>#N/A</v>
      </c>
      <c r="L839" s="29" t="e">
        <f>NA()</f>
        <v>#N/A</v>
      </c>
      <c r="M839" s="30" t="e">
        <v>#N/A</v>
      </c>
      <c r="N839" s="29" t="e">
        <f>NA()</f>
        <v>#N/A</v>
      </c>
      <c r="O839" s="29" t="e">
        <v>#N/A</v>
      </c>
      <c r="P839" s="51" t="e">
        <f t="shared" si="65"/>
        <v>#N/A</v>
      </c>
      <c r="Q839" s="29" t="e">
        <f>NA()</f>
        <v>#N/A</v>
      </c>
      <c r="R839" s="43" t="e">
        <v>#N/A</v>
      </c>
      <c r="S839" s="32" t="e">
        <f t="shared" si="68"/>
        <v>#N/A</v>
      </c>
      <c r="T839" s="54" t="e">
        <f>VLOOKUP(A839,[1]인포맥스!$A:$I,9,0)</f>
        <v>#N/A</v>
      </c>
      <c r="U839" s="70" t="e">
        <f t="shared" si="69"/>
        <v>#N/A</v>
      </c>
    </row>
    <row r="840" spans="1:21" x14ac:dyDescent="0.25">
      <c r="A840" s="3">
        <v>18871</v>
      </c>
      <c r="B840" s="29" t="e">
        <f>NA()</f>
        <v>#N/A</v>
      </c>
      <c r="C840" s="29" t="e">
        <v>#N/A</v>
      </c>
      <c r="D840" s="50">
        <f>43.6</f>
        <v>43.6</v>
      </c>
      <c r="E840" s="30">
        <v>43.6</v>
      </c>
      <c r="F840" s="29" t="e">
        <f>NA()</f>
        <v>#N/A</v>
      </c>
      <c r="G840" s="31" t="e">
        <v>#N/A</v>
      </c>
      <c r="H840" s="51" t="e">
        <f t="shared" si="66"/>
        <v>#N/A</v>
      </c>
      <c r="I840" s="29" t="e">
        <f>NA()</f>
        <v>#N/A</v>
      </c>
      <c r="J840" s="31" t="e">
        <v>#N/A</v>
      </c>
      <c r="K840" s="51" t="e">
        <f t="shared" si="67"/>
        <v>#N/A</v>
      </c>
      <c r="L840" s="29" t="e">
        <f>NA()</f>
        <v>#N/A</v>
      </c>
      <c r="M840" s="30" t="e">
        <v>#N/A</v>
      </c>
      <c r="N840" s="29" t="e">
        <f>NA()</f>
        <v>#N/A</v>
      </c>
      <c r="O840" s="29" t="e">
        <v>#N/A</v>
      </c>
      <c r="P840" s="51" t="e">
        <f t="shared" si="65"/>
        <v>#N/A</v>
      </c>
      <c r="Q840" s="29" t="e">
        <f>NA()</f>
        <v>#N/A</v>
      </c>
      <c r="R840" s="43" t="e">
        <v>#N/A</v>
      </c>
      <c r="S840" s="32" t="e">
        <f t="shared" si="68"/>
        <v>#N/A</v>
      </c>
      <c r="T840" s="54" t="e">
        <f>VLOOKUP(A840,[1]인포맥스!$A:$I,9,0)</f>
        <v>#N/A</v>
      </c>
      <c r="U840" s="70" t="e">
        <f t="shared" si="69"/>
        <v>#N/A</v>
      </c>
    </row>
    <row r="841" spans="1:21" x14ac:dyDescent="0.25">
      <c r="A841" s="3">
        <v>18840</v>
      </c>
      <c r="B841" s="29" t="e">
        <f>NA()</f>
        <v>#N/A</v>
      </c>
      <c r="C841" s="29" t="e">
        <v>#N/A</v>
      </c>
      <c r="D841" s="50">
        <f>42.1</f>
        <v>42.1</v>
      </c>
      <c r="E841" s="30">
        <v>42.1</v>
      </c>
      <c r="F841" s="29" t="e">
        <f>NA()</f>
        <v>#N/A</v>
      </c>
      <c r="G841" s="31" t="e">
        <v>#N/A</v>
      </c>
      <c r="H841" s="51" t="e">
        <f t="shared" si="66"/>
        <v>#N/A</v>
      </c>
      <c r="I841" s="29" t="e">
        <f>NA()</f>
        <v>#N/A</v>
      </c>
      <c r="J841" s="31" t="e">
        <v>#N/A</v>
      </c>
      <c r="K841" s="51" t="e">
        <f t="shared" si="67"/>
        <v>#N/A</v>
      </c>
      <c r="L841" s="29" t="e">
        <f>NA()</f>
        <v>#N/A</v>
      </c>
      <c r="M841" s="30" t="e">
        <v>#N/A</v>
      </c>
      <c r="N841" s="29" t="e">
        <f>NA()</f>
        <v>#N/A</v>
      </c>
      <c r="O841" s="29" t="e">
        <v>#N/A</v>
      </c>
      <c r="P841" s="51" t="e">
        <f t="shared" si="65"/>
        <v>#N/A</v>
      </c>
      <c r="Q841" s="29" t="e">
        <f>NA()</f>
        <v>#N/A</v>
      </c>
      <c r="R841" s="43" t="e">
        <v>#N/A</v>
      </c>
      <c r="S841" s="32" t="e">
        <f t="shared" si="68"/>
        <v>#N/A</v>
      </c>
      <c r="T841" s="54" t="e">
        <f>VLOOKUP(A841,[1]인포맥스!$A:$I,9,0)</f>
        <v>#N/A</v>
      </c>
      <c r="U841" s="70" t="e">
        <f t="shared" si="69"/>
        <v>#N/A</v>
      </c>
    </row>
    <row r="842" spans="1:21" x14ac:dyDescent="0.25">
      <c r="A842" s="3">
        <v>18809</v>
      </c>
      <c r="B842" s="29" t="e">
        <f>NA()</f>
        <v>#N/A</v>
      </c>
      <c r="C842" s="29" t="e">
        <v>#N/A</v>
      </c>
      <c r="D842" s="50">
        <f>45.5</f>
        <v>45.5</v>
      </c>
      <c r="E842" s="30">
        <v>45.5</v>
      </c>
      <c r="F842" s="29" t="e">
        <f>NA()</f>
        <v>#N/A</v>
      </c>
      <c r="G842" s="31" t="e">
        <v>#N/A</v>
      </c>
      <c r="H842" s="51" t="e">
        <f t="shared" si="66"/>
        <v>#N/A</v>
      </c>
      <c r="I842" s="29" t="e">
        <f>NA()</f>
        <v>#N/A</v>
      </c>
      <c r="J842" s="31" t="e">
        <v>#N/A</v>
      </c>
      <c r="K842" s="51" t="e">
        <f t="shared" si="67"/>
        <v>#N/A</v>
      </c>
      <c r="L842" s="29" t="e">
        <f>NA()</f>
        <v>#N/A</v>
      </c>
      <c r="M842" s="30" t="e">
        <v>#N/A</v>
      </c>
      <c r="N842" s="29" t="e">
        <f>NA()</f>
        <v>#N/A</v>
      </c>
      <c r="O842" s="29" t="e">
        <v>#N/A</v>
      </c>
      <c r="P842" s="51" t="e">
        <f t="shared" si="65"/>
        <v>#N/A</v>
      </c>
      <c r="Q842" s="29" t="e">
        <f>NA()</f>
        <v>#N/A</v>
      </c>
      <c r="R842" s="43" t="e">
        <v>#N/A</v>
      </c>
      <c r="S842" s="32" t="e">
        <f t="shared" si="68"/>
        <v>#N/A</v>
      </c>
      <c r="T842" s="54" t="e">
        <f>VLOOKUP(A842,[1]인포맥스!$A:$I,9,0)</f>
        <v>#N/A</v>
      </c>
      <c r="U842" s="70" t="e">
        <f t="shared" si="69"/>
        <v>#N/A</v>
      </c>
    </row>
    <row r="843" spans="1:21" x14ac:dyDescent="0.25">
      <c r="A843" s="3">
        <v>18779</v>
      </c>
      <c r="B843" s="29" t="e">
        <f>NA()</f>
        <v>#N/A</v>
      </c>
      <c r="C843" s="29" t="e">
        <v>#N/A</v>
      </c>
      <c r="D843" s="50">
        <f>50.7</f>
        <v>50.7</v>
      </c>
      <c r="E843" s="30">
        <v>50.7</v>
      </c>
      <c r="F843" s="29" t="e">
        <f>NA()</f>
        <v>#N/A</v>
      </c>
      <c r="G843" s="31" t="e">
        <v>#N/A</v>
      </c>
      <c r="H843" s="51" t="e">
        <f t="shared" si="66"/>
        <v>#N/A</v>
      </c>
      <c r="I843" s="29" t="e">
        <f>NA()</f>
        <v>#N/A</v>
      </c>
      <c r="J843" s="31" t="e">
        <v>#N/A</v>
      </c>
      <c r="K843" s="51" t="e">
        <f t="shared" si="67"/>
        <v>#N/A</v>
      </c>
      <c r="L843" s="29" t="e">
        <f>NA()</f>
        <v>#N/A</v>
      </c>
      <c r="M843" s="30" t="e">
        <v>#N/A</v>
      </c>
      <c r="N843" s="29" t="e">
        <f>NA()</f>
        <v>#N/A</v>
      </c>
      <c r="O843" s="29" t="e">
        <v>#N/A</v>
      </c>
      <c r="P843" s="51" t="e">
        <f t="shared" si="65"/>
        <v>#N/A</v>
      </c>
      <c r="Q843" s="29" t="e">
        <f>NA()</f>
        <v>#N/A</v>
      </c>
      <c r="R843" s="43" t="e">
        <v>#N/A</v>
      </c>
      <c r="S843" s="32" t="e">
        <f t="shared" si="68"/>
        <v>#N/A</v>
      </c>
      <c r="T843" s="54" t="e">
        <f>VLOOKUP(A843,[1]인포맥스!$A:$I,9,0)</f>
        <v>#N/A</v>
      </c>
      <c r="U843" s="70" t="e">
        <f t="shared" si="69"/>
        <v>#N/A</v>
      </c>
    </row>
    <row r="844" spans="1:21" x14ac:dyDescent="0.25">
      <c r="A844" s="3">
        <v>18748</v>
      </c>
      <c r="B844" s="29" t="e">
        <f>NA()</f>
        <v>#N/A</v>
      </c>
      <c r="C844" s="29" t="e">
        <v>#N/A</v>
      </c>
      <c r="D844" s="50">
        <f>53.5</f>
        <v>53.5</v>
      </c>
      <c r="E844" s="30">
        <v>53.5</v>
      </c>
      <c r="F844" s="29" t="e">
        <f>NA()</f>
        <v>#N/A</v>
      </c>
      <c r="G844" s="31" t="e">
        <v>#N/A</v>
      </c>
      <c r="H844" s="51" t="e">
        <f t="shared" si="66"/>
        <v>#N/A</v>
      </c>
      <c r="I844" s="29" t="e">
        <f>NA()</f>
        <v>#N/A</v>
      </c>
      <c r="J844" s="31" t="e">
        <v>#N/A</v>
      </c>
      <c r="K844" s="51" t="e">
        <f t="shared" si="67"/>
        <v>#N/A</v>
      </c>
      <c r="L844" s="29" t="e">
        <f>NA()</f>
        <v>#N/A</v>
      </c>
      <c r="M844" s="30" t="e">
        <v>#N/A</v>
      </c>
      <c r="N844" s="29" t="e">
        <f>NA()</f>
        <v>#N/A</v>
      </c>
      <c r="O844" s="29" t="e">
        <v>#N/A</v>
      </c>
      <c r="P844" s="51" t="e">
        <f t="shared" si="65"/>
        <v>#N/A</v>
      </c>
      <c r="Q844" s="29" t="e">
        <f>NA()</f>
        <v>#N/A</v>
      </c>
      <c r="R844" s="43" t="e">
        <v>#N/A</v>
      </c>
      <c r="S844" s="32" t="e">
        <f t="shared" si="68"/>
        <v>#N/A</v>
      </c>
      <c r="T844" s="54" t="e">
        <f>VLOOKUP(A844,[1]인포맥스!$A:$I,9,0)</f>
        <v>#N/A</v>
      </c>
      <c r="U844" s="70" t="e">
        <f t="shared" si="69"/>
        <v>#N/A</v>
      </c>
    </row>
    <row r="845" spans="1:21" x14ac:dyDescent="0.25">
      <c r="A845" s="3">
        <v>18718</v>
      </c>
      <c r="B845" s="29" t="e">
        <f>NA()</f>
        <v>#N/A</v>
      </c>
      <c r="C845" s="29" t="e">
        <v>#N/A</v>
      </c>
      <c r="D845" s="50">
        <f>65.5</f>
        <v>65.5</v>
      </c>
      <c r="E845" s="30">
        <v>65.5</v>
      </c>
      <c r="F845" s="29" t="e">
        <f>NA()</f>
        <v>#N/A</v>
      </c>
      <c r="G845" s="31" t="e">
        <v>#N/A</v>
      </c>
      <c r="H845" s="51" t="e">
        <f t="shared" si="66"/>
        <v>#N/A</v>
      </c>
      <c r="I845" s="29" t="e">
        <f>NA()</f>
        <v>#N/A</v>
      </c>
      <c r="J845" s="31" t="e">
        <v>#N/A</v>
      </c>
      <c r="K845" s="51" t="e">
        <f t="shared" si="67"/>
        <v>#N/A</v>
      </c>
      <c r="L845" s="29" t="e">
        <f>NA()</f>
        <v>#N/A</v>
      </c>
      <c r="M845" s="30" t="e">
        <v>#N/A</v>
      </c>
      <c r="N845" s="29" t="e">
        <f>NA()</f>
        <v>#N/A</v>
      </c>
      <c r="O845" s="29" t="e">
        <v>#N/A</v>
      </c>
      <c r="P845" s="51" t="e">
        <f t="shared" si="65"/>
        <v>#N/A</v>
      </c>
      <c r="Q845" s="29" t="e">
        <f>NA()</f>
        <v>#N/A</v>
      </c>
      <c r="R845" s="43" t="e">
        <v>#N/A</v>
      </c>
      <c r="S845" s="32" t="e">
        <f t="shared" si="68"/>
        <v>#N/A</v>
      </c>
      <c r="T845" s="54" t="e">
        <f>VLOOKUP(A845,[1]인포맥스!$A:$I,9,0)</f>
        <v>#N/A</v>
      </c>
      <c r="U845" s="70" t="e">
        <f t="shared" si="69"/>
        <v>#N/A</v>
      </c>
    </row>
    <row r="846" spans="1:21" x14ac:dyDescent="0.25">
      <c r="A846" s="3">
        <v>18687</v>
      </c>
      <c r="B846" s="29" t="e">
        <f>NA()</f>
        <v>#N/A</v>
      </c>
      <c r="C846" s="29" t="e">
        <v>#N/A</v>
      </c>
      <c r="D846" s="50">
        <f>69.3</f>
        <v>69.3</v>
      </c>
      <c r="E846" s="30">
        <v>69.3</v>
      </c>
      <c r="F846" s="29" t="e">
        <f>NA()</f>
        <v>#N/A</v>
      </c>
      <c r="G846" s="31" t="e">
        <v>#N/A</v>
      </c>
      <c r="H846" s="51" t="e">
        <f t="shared" si="66"/>
        <v>#N/A</v>
      </c>
      <c r="I846" s="29" t="e">
        <f>NA()</f>
        <v>#N/A</v>
      </c>
      <c r="J846" s="31" t="e">
        <v>#N/A</v>
      </c>
      <c r="K846" s="51" t="e">
        <f t="shared" si="67"/>
        <v>#N/A</v>
      </c>
      <c r="L846" s="29" t="e">
        <f>NA()</f>
        <v>#N/A</v>
      </c>
      <c r="M846" s="30" t="e">
        <v>#N/A</v>
      </c>
      <c r="N846" s="29" t="e">
        <f>NA()</f>
        <v>#N/A</v>
      </c>
      <c r="O846" s="29" t="e">
        <v>#N/A</v>
      </c>
      <c r="P846" s="51" t="e">
        <f t="shared" si="65"/>
        <v>#N/A</v>
      </c>
      <c r="Q846" s="29" t="e">
        <f>NA()</f>
        <v>#N/A</v>
      </c>
      <c r="R846" s="43" t="e">
        <v>#N/A</v>
      </c>
      <c r="S846" s="32" t="e">
        <f t="shared" si="68"/>
        <v>#N/A</v>
      </c>
      <c r="T846" s="54" t="e">
        <f>VLOOKUP(A846,[1]인포맥스!$A:$I,9,0)</f>
        <v>#N/A</v>
      </c>
      <c r="U846" s="70" t="e">
        <f t="shared" si="69"/>
        <v>#N/A</v>
      </c>
    </row>
    <row r="847" spans="1:21" x14ac:dyDescent="0.25">
      <c r="A847" s="3">
        <v>18659</v>
      </c>
      <c r="B847" s="29" t="e">
        <f>NA()</f>
        <v>#N/A</v>
      </c>
      <c r="C847" s="29" t="e">
        <v>#N/A</v>
      </c>
      <c r="D847" s="50">
        <f>67.8</f>
        <v>67.8</v>
      </c>
      <c r="E847" s="30">
        <v>67.8</v>
      </c>
      <c r="F847" s="29" t="e">
        <f>NA()</f>
        <v>#N/A</v>
      </c>
      <c r="G847" s="31" t="e">
        <v>#N/A</v>
      </c>
      <c r="H847" s="51" t="e">
        <f t="shared" si="66"/>
        <v>#N/A</v>
      </c>
      <c r="I847" s="29" t="e">
        <f>NA()</f>
        <v>#N/A</v>
      </c>
      <c r="J847" s="31" t="e">
        <v>#N/A</v>
      </c>
      <c r="K847" s="51" t="e">
        <f t="shared" si="67"/>
        <v>#N/A</v>
      </c>
      <c r="L847" s="29" t="e">
        <f>NA()</f>
        <v>#N/A</v>
      </c>
      <c r="M847" s="30" t="e">
        <v>#N/A</v>
      </c>
      <c r="N847" s="29" t="e">
        <f>NA()</f>
        <v>#N/A</v>
      </c>
      <c r="O847" s="29" t="e">
        <v>#N/A</v>
      </c>
      <c r="P847" s="51" t="e">
        <f t="shared" si="65"/>
        <v>#N/A</v>
      </c>
      <c r="Q847" s="29" t="e">
        <f>NA()</f>
        <v>#N/A</v>
      </c>
      <c r="R847" s="43" t="e">
        <v>#N/A</v>
      </c>
      <c r="S847" s="32" t="e">
        <f t="shared" si="68"/>
        <v>#N/A</v>
      </c>
      <c r="T847" s="54" t="e">
        <f>VLOOKUP(A847,[1]인포맥스!$A:$I,9,0)</f>
        <v>#N/A</v>
      </c>
      <c r="U847" s="70" t="e">
        <f t="shared" si="69"/>
        <v>#N/A</v>
      </c>
    </row>
    <row r="848" spans="1:21" x14ac:dyDescent="0.25">
      <c r="A848" s="3">
        <v>18628</v>
      </c>
      <c r="B848" s="29" t="e">
        <f>NA()</f>
        <v>#N/A</v>
      </c>
      <c r="C848" s="29" t="e">
        <v>#N/A</v>
      </c>
      <c r="D848" s="50">
        <f>67.1</f>
        <v>67.099999999999994</v>
      </c>
      <c r="E848" s="30">
        <v>67.099999999999994</v>
      </c>
      <c r="F848" s="29" t="e">
        <f>NA()</f>
        <v>#N/A</v>
      </c>
      <c r="G848" s="31" t="e">
        <v>#N/A</v>
      </c>
      <c r="H848" s="51" t="e">
        <f t="shared" si="66"/>
        <v>#N/A</v>
      </c>
      <c r="I848" s="29" t="e">
        <f>NA()</f>
        <v>#N/A</v>
      </c>
      <c r="J848" s="31" t="e">
        <v>#N/A</v>
      </c>
      <c r="K848" s="51" t="e">
        <f t="shared" si="67"/>
        <v>#N/A</v>
      </c>
      <c r="L848" s="29" t="e">
        <f>NA()</f>
        <v>#N/A</v>
      </c>
      <c r="M848" s="30" t="e">
        <v>#N/A</v>
      </c>
      <c r="N848" s="29" t="e">
        <f>NA()</f>
        <v>#N/A</v>
      </c>
      <c r="O848" s="29" t="e">
        <v>#N/A</v>
      </c>
      <c r="P848" s="51" t="e">
        <f t="shared" si="65"/>
        <v>#N/A</v>
      </c>
      <c r="Q848" s="29" t="e">
        <f>NA()</f>
        <v>#N/A</v>
      </c>
      <c r="R848" s="43" t="e">
        <v>#N/A</v>
      </c>
      <c r="S848" s="32" t="e">
        <f t="shared" si="68"/>
        <v>#N/A</v>
      </c>
      <c r="T848" s="54" t="e">
        <f>VLOOKUP(A848,[1]인포맥스!$A:$I,9,0)</f>
        <v>#N/A</v>
      </c>
      <c r="U848" s="70" t="e">
        <f t="shared" si="69"/>
        <v>#N/A</v>
      </c>
    </row>
    <row r="849" spans="1:21" x14ac:dyDescent="0.25">
      <c r="A849" s="3">
        <v>18597</v>
      </c>
      <c r="B849" s="29" t="e">
        <f>NA()</f>
        <v>#N/A</v>
      </c>
      <c r="C849" s="29" t="e">
        <v>#N/A</v>
      </c>
      <c r="D849" s="50">
        <f>63.1</f>
        <v>63.1</v>
      </c>
      <c r="E849" s="30">
        <v>63.1</v>
      </c>
      <c r="F849" s="29" t="e">
        <f>NA()</f>
        <v>#N/A</v>
      </c>
      <c r="G849" s="31" t="e">
        <v>#N/A</v>
      </c>
      <c r="H849" s="51" t="e">
        <f t="shared" si="66"/>
        <v>#N/A</v>
      </c>
      <c r="I849" s="29" t="e">
        <f>NA()</f>
        <v>#N/A</v>
      </c>
      <c r="J849" s="31" t="e">
        <v>#N/A</v>
      </c>
      <c r="K849" s="51" t="e">
        <f t="shared" si="67"/>
        <v>#N/A</v>
      </c>
      <c r="L849" s="29" t="e">
        <f>NA()</f>
        <v>#N/A</v>
      </c>
      <c r="M849" s="30" t="e">
        <v>#N/A</v>
      </c>
      <c r="N849" s="29" t="e">
        <f>NA()</f>
        <v>#N/A</v>
      </c>
      <c r="O849" s="29" t="e">
        <v>#N/A</v>
      </c>
      <c r="P849" s="51" t="e">
        <f t="shared" si="65"/>
        <v>#N/A</v>
      </c>
      <c r="Q849" s="29" t="e">
        <f>NA()</f>
        <v>#N/A</v>
      </c>
      <c r="R849" s="43" t="e">
        <v>#N/A</v>
      </c>
      <c r="S849" s="32" t="e">
        <f t="shared" si="68"/>
        <v>#N/A</v>
      </c>
      <c r="T849" s="54" t="e">
        <f>VLOOKUP(A849,[1]인포맥스!$A:$I,9,0)</f>
        <v>#N/A</v>
      </c>
      <c r="U849" s="70" t="e">
        <f t="shared" si="69"/>
        <v>#N/A</v>
      </c>
    </row>
    <row r="850" spans="1:21" x14ac:dyDescent="0.25">
      <c r="A850" s="3">
        <v>18567</v>
      </c>
      <c r="B850" s="29" t="e">
        <f>NA()</f>
        <v>#N/A</v>
      </c>
      <c r="C850" s="29" t="e">
        <v>#N/A</v>
      </c>
      <c r="D850" s="50">
        <f>59.2</f>
        <v>59.2</v>
      </c>
      <c r="E850" s="30">
        <v>59.2</v>
      </c>
      <c r="F850" s="29" t="e">
        <f>NA()</f>
        <v>#N/A</v>
      </c>
      <c r="G850" s="31" t="e">
        <v>#N/A</v>
      </c>
      <c r="H850" s="51" t="e">
        <f t="shared" si="66"/>
        <v>#N/A</v>
      </c>
      <c r="I850" s="29" t="e">
        <f>NA()</f>
        <v>#N/A</v>
      </c>
      <c r="J850" s="31" t="e">
        <v>#N/A</v>
      </c>
      <c r="K850" s="51" t="e">
        <f t="shared" si="67"/>
        <v>#N/A</v>
      </c>
      <c r="L850" s="29" t="e">
        <f>NA()</f>
        <v>#N/A</v>
      </c>
      <c r="M850" s="30" t="e">
        <v>#N/A</v>
      </c>
      <c r="N850" s="29" t="e">
        <f>NA()</f>
        <v>#N/A</v>
      </c>
      <c r="O850" s="29" t="e">
        <v>#N/A</v>
      </c>
      <c r="P850" s="51" t="e">
        <f t="shared" si="65"/>
        <v>#N/A</v>
      </c>
      <c r="Q850" s="29" t="e">
        <f>NA()</f>
        <v>#N/A</v>
      </c>
      <c r="R850" s="43" t="e">
        <v>#N/A</v>
      </c>
      <c r="S850" s="32" t="e">
        <f t="shared" si="68"/>
        <v>#N/A</v>
      </c>
      <c r="T850" s="54" t="e">
        <f>VLOOKUP(A850,[1]인포맥스!$A:$I,9,0)</f>
        <v>#N/A</v>
      </c>
      <c r="U850" s="70" t="e">
        <f t="shared" si="69"/>
        <v>#N/A</v>
      </c>
    </row>
    <row r="851" spans="1:21" x14ac:dyDescent="0.25">
      <c r="A851" s="3">
        <v>18536</v>
      </c>
      <c r="B851" s="29" t="e">
        <f>NA()</f>
        <v>#N/A</v>
      </c>
      <c r="C851" s="29" t="e">
        <v>#N/A</v>
      </c>
      <c r="D851" s="50">
        <f>68.1</f>
        <v>68.099999999999994</v>
      </c>
      <c r="E851" s="30">
        <v>68.099999999999994</v>
      </c>
      <c r="F851" s="29" t="e">
        <f>NA()</f>
        <v>#N/A</v>
      </c>
      <c r="G851" s="31" t="e">
        <v>#N/A</v>
      </c>
      <c r="H851" s="51" t="e">
        <f t="shared" si="66"/>
        <v>#N/A</v>
      </c>
      <c r="I851" s="29" t="e">
        <f>NA()</f>
        <v>#N/A</v>
      </c>
      <c r="J851" s="31" t="e">
        <v>#N/A</v>
      </c>
      <c r="K851" s="51" t="e">
        <f t="shared" si="67"/>
        <v>#N/A</v>
      </c>
      <c r="L851" s="29" t="e">
        <f>NA()</f>
        <v>#N/A</v>
      </c>
      <c r="M851" s="30" t="e">
        <v>#N/A</v>
      </c>
      <c r="N851" s="29" t="e">
        <f>NA()</f>
        <v>#N/A</v>
      </c>
      <c r="O851" s="29" t="e">
        <v>#N/A</v>
      </c>
      <c r="P851" s="51" t="e">
        <f t="shared" si="65"/>
        <v>#N/A</v>
      </c>
      <c r="Q851" s="29" t="e">
        <f>NA()</f>
        <v>#N/A</v>
      </c>
      <c r="R851" s="43" t="e">
        <v>#N/A</v>
      </c>
      <c r="S851" s="32" t="e">
        <f t="shared" si="68"/>
        <v>#N/A</v>
      </c>
      <c r="T851" s="54" t="e">
        <f>VLOOKUP(A851,[1]인포맥스!$A:$I,9,0)</f>
        <v>#N/A</v>
      </c>
      <c r="U851" s="70" t="e">
        <f t="shared" si="69"/>
        <v>#N/A</v>
      </c>
    </row>
    <row r="852" spans="1:21" x14ac:dyDescent="0.25">
      <c r="A852" s="3">
        <v>18506</v>
      </c>
      <c r="B852" s="29" t="e">
        <f>NA()</f>
        <v>#N/A</v>
      </c>
      <c r="C852" s="29" t="e">
        <v>#N/A</v>
      </c>
      <c r="D852" s="50">
        <f>75.8</f>
        <v>75.8</v>
      </c>
      <c r="E852" s="30">
        <v>75.8</v>
      </c>
      <c r="F852" s="29" t="e">
        <f>NA()</f>
        <v>#N/A</v>
      </c>
      <c r="G852" s="31" t="e">
        <v>#N/A</v>
      </c>
      <c r="H852" s="51" t="e">
        <f t="shared" si="66"/>
        <v>#N/A</v>
      </c>
      <c r="I852" s="29" t="e">
        <f>NA()</f>
        <v>#N/A</v>
      </c>
      <c r="J852" s="31" t="e">
        <v>#N/A</v>
      </c>
      <c r="K852" s="51" t="e">
        <f t="shared" si="67"/>
        <v>#N/A</v>
      </c>
      <c r="L852" s="29" t="e">
        <f>NA()</f>
        <v>#N/A</v>
      </c>
      <c r="M852" s="30" t="e">
        <v>#N/A</v>
      </c>
      <c r="N852" s="29" t="e">
        <f>NA()</f>
        <v>#N/A</v>
      </c>
      <c r="O852" s="29" t="e">
        <v>#N/A</v>
      </c>
      <c r="P852" s="51" t="e">
        <f t="shared" si="65"/>
        <v>#N/A</v>
      </c>
      <c r="Q852" s="29" t="e">
        <f>NA()</f>
        <v>#N/A</v>
      </c>
      <c r="R852" s="43" t="e">
        <v>#N/A</v>
      </c>
      <c r="S852" s="32" t="e">
        <f t="shared" si="68"/>
        <v>#N/A</v>
      </c>
      <c r="T852" s="54" t="e">
        <f>VLOOKUP(A852,[1]인포맥스!$A:$I,9,0)</f>
        <v>#N/A</v>
      </c>
      <c r="U852" s="70" t="e">
        <f t="shared" si="69"/>
        <v>#N/A</v>
      </c>
    </row>
    <row r="853" spans="1:21" x14ac:dyDescent="0.25">
      <c r="A853" s="3">
        <v>18475</v>
      </c>
      <c r="B853" s="29" t="e">
        <f>NA()</f>
        <v>#N/A</v>
      </c>
      <c r="C853" s="29" t="e">
        <v>#N/A</v>
      </c>
      <c r="D853" s="50">
        <f>77.5</f>
        <v>77.5</v>
      </c>
      <c r="E853" s="30">
        <v>77.5</v>
      </c>
      <c r="F853" s="29" t="e">
        <f>NA()</f>
        <v>#N/A</v>
      </c>
      <c r="G853" s="31" t="e">
        <v>#N/A</v>
      </c>
      <c r="H853" s="51" t="e">
        <f t="shared" si="66"/>
        <v>#N/A</v>
      </c>
      <c r="I853" s="29" t="e">
        <f>NA()</f>
        <v>#N/A</v>
      </c>
      <c r="J853" s="31" t="e">
        <v>#N/A</v>
      </c>
      <c r="K853" s="51" t="e">
        <f t="shared" si="67"/>
        <v>#N/A</v>
      </c>
      <c r="L853" s="29" t="e">
        <f>NA()</f>
        <v>#N/A</v>
      </c>
      <c r="M853" s="30" t="e">
        <v>#N/A</v>
      </c>
      <c r="N853" s="29" t="e">
        <f>NA()</f>
        <v>#N/A</v>
      </c>
      <c r="O853" s="29" t="e">
        <v>#N/A</v>
      </c>
      <c r="P853" s="51" t="e">
        <f t="shared" si="65"/>
        <v>#N/A</v>
      </c>
      <c r="Q853" s="29" t="e">
        <f>NA()</f>
        <v>#N/A</v>
      </c>
      <c r="R853" s="43" t="e">
        <v>#N/A</v>
      </c>
      <c r="S853" s="32" t="e">
        <f t="shared" si="68"/>
        <v>#N/A</v>
      </c>
      <c r="T853" s="54" t="e">
        <f>VLOOKUP(A853,[1]인포맥스!$A:$I,9,0)</f>
        <v>#N/A</v>
      </c>
      <c r="U853" s="70" t="e">
        <f t="shared" si="69"/>
        <v>#N/A</v>
      </c>
    </row>
    <row r="854" spans="1:21" x14ac:dyDescent="0.25">
      <c r="A854" s="3">
        <v>18444</v>
      </c>
      <c r="B854" s="29" t="e">
        <f>NA()</f>
        <v>#N/A</v>
      </c>
      <c r="C854" s="29" t="e">
        <v>#N/A</v>
      </c>
      <c r="D854" s="50">
        <f>76.6</f>
        <v>76.599999999999994</v>
      </c>
      <c r="E854" s="30">
        <v>76.599999999999994</v>
      </c>
      <c r="F854" s="29" t="e">
        <f>NA()</f>
        <v>#N/A</v>
      </c>
      <c r="G854" s="31" t="e">
        <v>#N/A</v>
      </c>
      <c r="H854" s="51" t="e">
        <f t="shared" si="66"/>
        <v>#N/A</v>
      </c>
      <c r="I854" s="29" t="e">
        <f>NA()</f>
        <v>#N/A</v>
      </c>
      <c r="J854" s="31" t="e">
        <v>#N/A</v>
      </c>
      <c r="K854" s="51" t="e">
        <f t="shared" si="67"/>
        <v>#N/A</v>
      </c>
      <c r="L854" s="29" t="e">
        <f>NA()</f>
        <v>#N/A</v>
      </c>
      <c r="M854" s="30" t="e">
        <v>#N/A</v>
      </c>
      <c r="N854" s="29" t="e">
        <f>NA()</f>
        <v>#N/A</v>
      </c>
      <c r="O854" s="29" t="e">
        <v>#N/A</v>
      </c>
      <c r="P854" s="51" t="e">
        <f t="shared" si="65"/>
        <v>#N/A</v>
      </c>
      <c r="Q854" s="29" t="e">
        <f>NA()</f>
        <v>#N/A</v>
      </c>
      <c r="R854" s="43" t="e">
        <v>#N/A</v>
      </c>
      <c r="S854" s="32" t="e">
        <f t="shared" si="68"/>
        <v>#N/A</v>
      </c>
      <c r="T854" s="54" t="e">
        <f>VLOOKUP(A854,[1]인포맥스!$A:$I,9,0)</f>
        <v>#N/A</v>
      </c>
      <c r="U854" s="70" t="e">
        <f t="shared" si="69"/>
        <v>#N/A</v>
      </c>
    </row>
    <row r="855" spans="1:21" x14ac:dyDescent="0.25">
      <c r="A855" s="3">
        <v>18414</v>
      </c>
      <c r="B855" s="29" t="e">
        <f>NA()</f>
        <v>#N/A</v>
      </c>
      <c r="C855" s="29" t="e">
        <v>#N/A</v>
      </c>
      <c r="D855" s="50">
        <f>74.7</f>
        <v>74.7</v>
      </c>
      <c r="E855" s="30">
        <v>74.7</v>
      </c>
      <c r="F855" s="29" t="e">
        <f>NA()</f>
        <v>#N/A</v>
      </c>
      <c r="G855" s="31" t="e">
        <v>#N/A</v>
      </c>
      <c r="H855" s="51" t="e">
        <f t="shared" si="66"/>
        <v>#N/A</v>
      </c>
      <c r="I855" s="29" t="e">
        <f>NA()</f>
        <v>#N/A</v>
      </c>
      <c r="J855" s="31" t="e">
        <v>#N/A</v>
      </c>
      <c r="K855" s="51" t="e">
        <f t="shared" si="67"/>
        <v>#N/A</v>
      </c>
      <c r="L855" s="29" t="e">
        <f>NA()</f>
        <v>#N/A</v>
      </c>
      <c r="M855" s="30" t="e">
        <v>#N/A</v>
      </c>
      <c r="N855" s="29" t="e">
        <f>NA()</f>
        <v>#N/A</v>
      </c>
      <c r="O855" s="29" t="e">
        <v>#N/A</v>
      </c>
      <c r="P855" s="51" t="e">
        <f t="shared" si="65"/>
        <v>#N/A</v>
      </c>
      <c r="Q855" s="29" t="e">
        <f>NA()</f>
        <v>#N/A</v>
      </c>
      <c r="R855" s="43" t="e">
        <v>#N/A</v>
      </c>
      <c r="S855" s="32" t="e">
        <f t="shared" si="68"/>
        <v>#N/A</v>
      </c>
      <c r="T855" s="54" t="e">
        <f>VLOOKUP(A855,[1]인포맥스!$A:$I,9,0)</f>
        <v>#N/A</v>
      </c>
      <c r="U855" s="70" t="e">
        <f t="shared" si="69"/>
        <v>#N/A</v>
      </c>
    </row>
    <row r="856" spans="1:21" x14ac:dyDescent="0.25">
      <c r="A856" s="3">
        <v>18383</v>
      </c>
      <c r="B856" s="29" t="e">
        <f>NA()</f>
        <v>#N/A</v>
      </c>
      <c r="C856" s="29" t="e">
        <v>#N/A</v>
      </c>
      <c r="D856" s="50">
        <f>68.1</f>
        <v>68.099999999999994</v>
      </c>
      <c r="E856" s="30">
        <v>68.099999999999994</v>
      </c>
      <c r="F856" s="29" t="e">
        <f>NA()</f>
        <v>#N/A</v>
      </c>
      <c r="G856" s="31" t="e">
        <v>#N/A</v>
      </c>
      <c r="H856" s="51" t="e">
        <f t="shared" si="66"/>
        <v>#N/A</v>
      </c>
      <c r="I856" s="29" t="e">
        <f>NA()</f>
        <v>#N/A</v>
      </c>
      <c r="J856" s="31" t="e">
        <v>#N/A</v>
      </c>
      <c r="K856" s="51" t="e">
        <f t="shared" si="67"/>
        <v>#N/A</v>
      </c>
      <c r="L856" s="29" t="e">
        <f>NA()</f>
        <v>#N/A</v>
      </c>
      <c r="M856" s="30" t="e">
        <v>#N/A</v>
      </c>
      <c r="N856" s="29" t="e">
        <f>NA()</f>
        <v>#N/A</v>
      </c>
      <c r="O856" s="29" t="e">
        <v>#N/A</v>
      </c>
      <c r="P856" s="51" t="e">
        <f t="shared" si="65"/>
        <v>#N/A</v>
      </c>
      <c r="Q856" s="29" t="e">
        <f>NA()</f>
        <v>#N/A</v>
      </c>
      <c r="R856" s="43" t="e">
        <v>#N/A</v>
      </c>
      <c r="S856" s="32" t="e">
        <f t="shared" si="68"/>
        <v>#N/A</v>
      </c>
      <c r="T856" s="54" t="e">
        <f>VLOOKUP(A856,[1]인포맥스!$A:$I,9,0)</f>
        <v>#N/A</v>
      </c>
      <c r="U856" s="70" t="e">
        <f t="shared" si="69"/>
        <v>#N/A</v>
      </c>
    </row>
    <row r="857" spans="1:21" x14ac:dyDescent="0.25">
      <c r="A857" s="3">
        <v>18353</v>
      </c>
      <c r="B857" s="29" t="e">
        <f>NA()</f>
        <v>#N/A</v>
      </c>
      <c r="C857" s="29" t="e">
        <v>#N/A</v>
      </c>
      <c r="D857" s="50">
        <f>62.1</f>
        <v>62.1</v>
      </c>
      <c r="E857" s="30">
        <v>62.1</v>
      </c>
      <c r="F857" s="29" t="e">
        <f>NA()</f>
        <v>#N/A</v>
      </c>
      <c r="G857" s="31" t="e">
        <v>#N/A</v>
      </c>
      <c r="H857" s="51" t="e">
        <f t="shared" si="66"/>
        <v>#N/A</v>
      </c>
      <c r="I857" s="29" t="e">
        <f>NA()</f>
        <v>#N/A</v>
      </c>
      <c r="J857" s="31" t="e">
        <v>#N/A</v>
      </c>
      <c r="K857" s="51" t="e">
        <f t="shared" si="67"/>
        <v>#N/A</v>
      </c>
      <c r="L857" s="29" t="e">
        <f>NA()</f>
        <v>#N/A</v>
      </c>
      <c r="M857" s="30" t="e">
        <v>#N/A</v>
      </c>
      <c r="N857" s="29" t="e">
        <f>NA()</f>
        <v>#N/A</v>
      </c>
      <c r="O857" s="29" t="e">
        <v>#N/A</v>
      </c>
      <c r="P857" s="51" t="e">
        <f t="shared" si="65"/>
        <v>#N/A</v>
      </c>
      <c r="Q857" s="29" t="e">
        <f>NA()</f>
        <v>#N/A</v>
      </c>
      <c r="R857" s="43" t="e">
        <v>#N/A</v>
      </c>
      <c r="S857" s="32" t="e">
        <f t="shared" si="68"/>
        <v>#N/A</v>
      </c>
      <c r="T857" s="54" t="e">
        <f>VLOOKUP(A857,[1]인포맥스!$A:$I,9,0)</f>
        <v>#N/A</v>
      </c>
      <c r="U857" s="70" t="e">
        <f t="shared" si="69"/>
        <v>#N/A</v>
      </c>
    </row>
    <row r="858" spans="1:21" x14ac:dyDescent="0.25">
      <c r="A858" s="3">
        <v>18322</v>
      </c>
      <c r="B858" s="29" t="e">
        <f>NA()</f>
        <v>#N/A</v>
      </c>
      <c r="C858" s="29" t="e">
        <v>#N/A</v>
      </c>
      <c r="D858" s="50">
        <f>60.5</f>
        <v>60.5</v>
      </c>
      <c r="E858" s="30">
        <v>60.5</v>
      </c>
      <c r="F858" s="29" t="e">
        <f>NA()</f>
        <v>#N/A</v>
      </c>
      <c r="G858" s="31" t="e">
        <v>#N/A</v>
      </c>
      <c r="H858" s="51" t="e">
        <f t="shared" si="66"/>
        <v>#N/A</v>
      </c>
      <c r="I858" s="29" t="e">
        <f>NA()</f>
        <v>#N/A</v>
      </c>
      <c r="J858" s="31" t="e">
        <v>#N/A</v>
      </c>
      <c r="K858" s="51" t="e">
        <f t="shared" si="67"/>
        <v>#N/A</v>
      </c>
      <c r="L858" s="29" t="e">
        <f>NA()</f>
        <v>#N/A</v>
      </c>
      <c r="M858" s="30" t="e">
        <v>#N/A</v>
      </c>
      <c r="N858" s="29" t="e">
        <f>NA()</f>
        <v>#N/A</v>
      </c>
      <c r="O858" s="29" t="e">
        <v>#N/A</v>
      </c>
      <c r="P858" s="51" t="e">
        <f t="shared" si="65"/>
        <v>#N/A</v>
      </c>
      <c r="Q858" s="29" t="e">
        <f>NA()</f>
        <v>#N/A</v>
      </c>
      <c r="R858" s="43" t="e">
        <v>#N/A</v>
      </c>
      <c r="S858" s="32" t="e">
        <f t="shared" si="68"/>
        <v>#N/A</v>
      </c>
      <c r="T858" s="54" t="e">
        <f>VLOOKUP(A858,[1]인포맥스!$A:$I,9,0)</f>
        <v>#N/A</v>
      </c>
      <c r="U858" s="70" t="e">
        <f t="shared" si="69"/>
        <v>#N/A</v>
      </c>
    </row>
    <row r="859" spans="1:21" x14ac:dyDescent="0.25">
      <c r="A859" s="3">
        <v>18294</v>
      </c>
      <c r="B859" s="29" t="e">
        <f>NA()</f>
        <v>#N/A</v>
      </c>
      <c r="C859" s="29" t="e">
        <v>#N/A</v>
      </c>
      <c r="D859" s="50">
        <f>59.1</f>
        <v>59.1</v>
      </c>
      <c r="E859" s="30">
        <v>59.1</v>
      </c>
      <c r="F859" s="29" t="e">
        <f>NA()</f>
        <v>#N/A</v>
      </c>
      <c r="G859" s="31" t="e">
        <v>#N/A</v>
      </c>
      <c r="H859" s="51" t="e">
        <f t="shared" si="66"/>
        <v>#N/A</v>
      </c>
      <c r="I859" s="29" t="e">
        <f>NA()</f>
        <v>#N/A</v>
      </c>
      <c r="J859" s="31" t="e">
        <v>#N/A</v>
      </c>
      <c r="K859" s="51" t="e">
        <f t="shared" si="67"/>
        <v>#N/A</v>
      </c>
      <c r="L859" s="29" t="e">
        <f>NA()</f>
        <v>#N/A</v>
      </c>
      <c r="M859" s="30" t="e">
        <v>#N/A</v>
      </c>
      <c r="N859" s="29" t="e">
        <f>NA()</f>
        <v>#N/A</v>
      </c>
      <c r="O859" s="29" t="e">
        <v>#N/A</v>
      </c>
      <c r="P859" s="51" t="e">
        <f t="shared" si="65"/>
        <v>#N/A</v>
      </c>
      <c r="Q859" s="29" t="e">
        <f>NA()</f>
        <v>#N/A</v>
      </c>
      <c r="R859" s="43" t="e">
        <v>#N/A</v>
      </c>
      <c r="S859" s="32" t="e">
        <f t="shared" si="68"/>
        <v>#N/A</v>
      </c>
      <c r="T859" s="54" t="e">
        <f>VLOOKUP(A859,[1]인포맥스!$A:$I,9,0)</f>
        <v>#N/A</v>
      </c>
      <c r="U859" s="70" t="e">
        <f t="shared" si="69"/>
        <v>#N/A</v>
      </c>
    </row>
    <row r="860" spans="1:21" x14ac:dyDescent="0.25">
      <c r="A860" s="3">
        <v>18263</v>
      </c>
      <c r="B860" s="29" t="e">
        <f>NA()</f>
        <v>#N/A</v>
      </c>
      <c r="C860" s="29" t="e">
        <v>#N/A</v>
      </c>
      <c r="D860" s="50">
        <f>57.3</f>
        <v>57.3</v>
      </c>
      <c r="E860" s="30">
        <v>57.3</v>
      </c>
      <c r="F860" s="29" t="e">
        <f>NA()</f>
        <v>#N/A</v>
      </c>
      <c r="G860" s="31" t="e">
        <v>#N/A</v>
      </c>
      <c r="H860" s="51" t="e">
        <f t="shared" si="66"/>
        <v>#N/A</v>
      </c>
      <c r="I860" s="29" t="e">
        <f>NA()</f>
        <v>#N/A</v>
      </c>
      <c r="J860" s="31" t="e">
        <v>#N/A</v>
      </c>
      <c r="K860" s="51" t="e">
        <f t="shared" si="67"/>
        <v>#N/A</v>
      </c>
      <c r="L860" s="29" t="e">
        <f>NA()</f>
        <v>#N/A</v>
      </c>
      <c r="M860" s="30" t="e">
        <v>#N/A</v>
      </c>
      <c r="N860" s="29" t="e">
        <f>NA()</f>
        <v>#N/A</v>
      </c>
      <c r="O860" s="29" t="e">
        <v>#N/A</v>
      </c>
      <c r="P860" s="51" t="e">
        <f t="shared" si="65"/>
        <v>#N/A</v>
      </c>
      <c r="Q860" s="29" t="e">
        <f>NA()</f>
        <v>#N/A</v>
      </c>
      <c r="R860" s="43" t="e">
        <v>#N/A</v>
      </c>
      <c r="S860" s="32" t="e">
        <f t="shared" si="68"/>
        <v>#N/A</v>
      </c>
      <c r="T860" s="54" t="e">
        <f>VLOOKUP(A860,[1]인포맥스!$A:$I,9,0)</f>
        <v>#N/A</v>
      </c>
      <c r="U860" s="70" t="e">
        <f t="shared" si="69"/>
        <v>#N/A</v>
      </c>
    </row>
    <row r="861" spans="1:21" x14ac:dyDescent="0.25">
      <c r="A861" s="3">
        <v>18232</v>
      </c>
      <c r="B861" s="29" t="e">
        <f>NA()</f>
        <v>#N/A</v>
      </c>
      <c r="C861" s="29" t="e">
        <v>#N/A</v>
      </c>
      <c r="D861" s="50">
        <f>51</f>
        <v>51</v>
      </c>
      <c r="E861" s="30">
        <v>51</v>
      </c>
      <c r="F861" s="29" t="e">
        <f>NA()</f>
        <v>#N/A</v>
      </c>
      <c r="G861" s="31" t="e">
        <v>#N/A</v>
      </c>
      <c r="H861" s="51" t="e">
        <f t="shared" si="66"/>
        <v>#N/A</v>
      </c>
      <c r="I861" s="29" t="e">
        <f>NA()</f>
        <v>#N/A</v>
      </c>
      <c r="J861" s="31" t="e">
        <v>#N/A</v>
      </c>
      <c r="K861" s="51" t="e">
        <f t="shared" si="67"/>
        <v>#N/A</v>
      </c>
      <c r="L861" s="29" t="e">
        <f>NA()</f>
        <v>#N/A</v>
      </c>
      <c r="M861" s="30" t="e">
        <v>#N/A</v>
      </c>
      <c r="N861" s="29" t="e">
        <f>NA()</f>
        <v>#N/A</v>
      </c>
      <c r="O861" s="29" t="e">
        <v>#N/A</v>
      </c>
      <c r="P861" s="51" t="e">
        <f t="shared" si="65"/>
        <v>#N/A</v>
      </c>
      <c r="Q861" s="29" t="e">
        <f>NA()</f>
        <v>#N/A</v>
      </c>
      <c r="R861" s="43" t="e">
        <v>#N/A</v>
      </c>
      <c r="S861" s="32" t="e">
        <f t="shared" si="68"/>
        <v>#N/A</v>
      </c>
      <c r="T861" s="54" t="e">
        <f>VLOOKUP(A861,[1]인포맥스!$A:$I,9,0)</f>
        <v>#N/A</v>
      </c>
      <c r="U861" s="70" t="e">
        <f t="shared" si="69"/>
        <v>#N/A</v>
      </c>
    </row>
    <row r="862" spans="1:21" x14ac:dyDescent="0.25">
      <c r="A862" s="3">
        <v>18202</v>
      </c>
      <c r="B862" s="29" t="e">
        <f>NA()</f>
        <v>#N/A</v>
      </c>
      <c r="C862" s="29" t="e">
        <v>#N/A</v>
      </c>
      <c r="D862" s="50">
        <f>51</f>
        <v>51</v>
      </c>
      <c r="E862" s="30">
        <v>51</v>
      </c>
      <c r="F862" s="29" t="e">
        <f>NA()</f>
        <v>#N/A</v>
      </c>
      <c r="G862" s="31" t="e">
        <v>#N/A</v>
      </c>
      <c r="H862" s="51" t="e">
        <f t="shared" si="66"/>
        <v>#N/A</v>
      </c>
      <c r="I862" s="29" t="e">
        <f>NA()</f>
        <v>#N/A</v>
      </c>
      <c r="J862" s="31" t="e">
        <v>#N/A</v>
      </c>
      <c r="K862" s="51" t="e">
        <f t="shared" si="67"/>
        <v>#N/A</v>
      </c>
      <c r="L862" s="29" t="e">
        <f>NA()</f>
        <v>#N/A</v>
      </c>
      <c r="M862" s="30" t="e">
        <v>#N/A</v>
      </c>
      <c r="N862" s="29" t="e">
        <f>NA()</f>
        <v>#N/A</v>
      </c>
      <c r="O862" s="29" t="e">
        <v>#N/A</v>
      </c>
      <c r="P862" s="51" t="e">
        <f t="shared" si="65"/>
        <v>#N/A</v>
      </c>
      <c r="Q862" s="29" t="e">
        <f>NA()</f>
        <v>#N/A</v>
      </c>
      <c r="R862" s="43" t="e">
        <v>#N/A</v>
      </c>
      <c r="S862" s="32" t="e">
        <f t="shared" si="68"/>
        <v>#N/A</v>
      </c>
      <c r="T862" s="54" t="e">
        <f>VLOOKUP(A862,[1]인포맥스!$A:$I,9,0)</f>
        <v>#N/A</v>
      </c>
      <c r="U862" s="70" t="e">
        <f t="shared" si="69"/>
        <v>#N/A</v>
      </c>
    </row>
    <row r="863" spans="1:21" x14ac:dyDescent="0.25">
      <c r="A863" s="3">
        <v>18171</v>
      </c>
      <c r="B863" s="29" t="e">
        <f>NA()</f>
        <v>#N/A</v>
      </c>
      <c r="C863" s="29" t="e">
        <v>#N/A</v>
      </c>
      <c r="D863" s="50">
        <f>52.3</f>
        <v>52.3</v>
      </c>
      <c r="E863" s="30">
        <v>52.3</v>
      </c>
      <c r="F863" s="29" t="e">
        <f>NA()</f>
        <v>#N/A</v>
      </c>
      <c r="G863" s="31" t="e">
        <v>#N/A</v>
      </c>
      <c r="H863" s="51" t="e">
        <f t="shared" si="66"/>
        <v>#N/A</v>
      </c>
      <c r="I863" s="29" t="e">
        <f>NA()</f>
        <v>#N/A</v>
      </c>
      <c r="J863" s="31" t="e">
        <v>#N/A</v>
      </c>
      <c r="K863" s="51" t="e">
        <f t="shared" si="67"/>
        <v>#N/A</v>
      </c>
      <c r="L863" s="29" t="e">
        <f>NA()</f>
        <v>#N/A</v>
      </c>
      <c r="M863" s="30" t="e">
        <v>#N/A</v>
      </c>
      <c r="N863" s="29" t="e">
        <f>NA()</f>
        <v>#N/A</v>
      </c>
      <c r="O863" s="29" t="e">
        <v>#N/A</v>
      </c>
      <c r="P863" s="51" t="e">
        <f t="shared" si="65"/>
        <v>#N/A</v>
      </c>
      <c r="Q863" s="29" t="e">
        <f>NA()</f>
        <v>#N/A</v>
      </c>
      <c r="R863" s="43" t="e">
        <v>#N/A</v>
      </c>
      <c r="S863" s="32" t="e">
        <f t="shared" si="68"/>
        <v>#N/A</v>
      </c>
      <c r="T863" s="54" t="e">
        <f>VLOOKUP(A863,[1]인포맥스!$A:$I,9,0)</f>
        <v>#N/A</v>
      </c>
      <c r="U863" s="70" t="e">
        <f t="shared" si="69"/>
        <v>#N/A</v>
      </c>
    </row>
    <row r="864" spans="1:21" x14ac:dyDescent="0.25">
      <c r="A864" s="3">
        <v>18141</v>
      </c>
      <c r="B864" s="29" t="e">
        <f>NA()</f>
        <v>#N/A</v>
      </c>
      <c r="C864" s="29" t="e">
        <v>#N/A</v>
      </c>
      <c r="D864" s="50">
        <f>47</f>
        <v>47</v>
      </c>
      <c r="E864" s="30">
        <v>47</v>
      </c>
      <c r="F864" s="29" t="e">
        <f>NA()</f>
        <v>#N/A</v>
      </c>
      <c r="G864" s="31" t="e">
        <v>#N/A</v>
      </c>
      <c r="H864" s="51" t="e">
        <f t="shared" si="66"/>
        <v>#N/A</v>
      </c>
      <c r="I864" s="29" t="e">
        <f>NA()</f>
        <v>#N/A</v>
      </c>
      <c r="J864" s="31" t="e">
        <v>#N/A</v>
      </c>
      <c r="K864" s="51" t="e">
        <f t="shared" si="67"/>
        <v>#N/A</v>
      </c>
      <c r="L864" s="29" t="e">
        <f>NA()</f>
        <v>#N/A</v>
      </c>
      <c r="M864" s="30" t="e">
        <v>#N/A</v>
      </c>
      <c r="N864" s="29" t="e">
        <f>NA()</f>
        <v>#N/A</v>
      </c>
      <c r="O864" s="29" t="e">
        <v>#N/A</v>
      </c>
      <c r="P864" s="51" t="e">
        <f t="shared" si="65"/>
        <v>#N/A</v>
      </c>
      <c r="Q864" s="29" t="e">
        <f>NA()</f>
        <v>#N/A</v>
      </c>
      <c r="R864" s="43" t="e">
        <v>#N/A</v>
      </c>
      <c r="S864" s="32" t="e">
        <f t="shared" si="68"/>
        <v>#N/A</v>
      </c>
      <c r="T864" s="54" t="e">
        <f>VLOOKUP(A864,[1]인포맥스!$A:$I,9,0)</f>
        <v>#N/A</v>
      </c>
      <c r="U864" s="70" t="e">
        <f t="shared" si="69"/>
        <v>#N/A</v>
      </c>
    </row>
    <row r="865" spans="1:21" x14ac:dyDescent="0.25">
      <c r="A865" s="3">
        <v>18110</v>
      </c>
      <c r="B865" s="29" t="e">
        <f>NA()</f>
        <v>#N/A</v>
      </c>
      <c r="C865" s="29" t="e">
        <v>#N/A</v>
      </c>
      <c r="D865" s="50">
        <f>39</f>
        <v>39</v>
      </c>
      <c r="E865" s="30">
        <v>39</v>
      </c>
      <c r="F865" s="29" t="e">
        <f>NA()</f>
        <v>#N/A</v>
      </c>
      <c r="G865" s="31" t="e">
        <v>#N/A</v>
      </c>
      <c r="H865" s="51" t="e">
        <f t="shared" si="66"/>
        <v>#N/A</v>
      </c>
      <c r="I865" s="29" t="e">
        <f>NA()</f>
        <v>#N/A</v>
      </c>
      <c r="J865" s="31" t="e">
        <v>#N/A</v>
      </c>
      <c r="K865" s="51" t="e">
        <f t="shared" si="67"/>
        <v>#N/A</v>
      </c>
      <c r="L865" s="29" t="e">
        <f>NA()</f>
        <v>#N/A</v>
      </c>
      <c r="M865" s="30" t="e">
        <v>#N/A</v>
      </c>
      <c r="N865" s="29" t="e">
        <f>NA()</f>
        <v>#N/A</v>
      </c>
      <c r="O865" s="29" t="e">
        <v>#N/A</v>
      </c>
      <c r="P865" s="51" t="e">
        <f t="shared" si="65"/>
        <v>#N/A</v>
      </c>
      <c r="Q865" s="29" t="e">
        <f>NA()</f>
        <v>#N/A</v>
      </c>
      <c r="R865" s="43" t="e">
        <v>#N/A</v>
      </c>
      <c r="S865" s="32" t="e">
        <f t="shared" si="68"/>
        <v>#N/A</v>
      </c>
      <c r="T865" s="54" t="e">
        <f>VLOOKUP(A865,[1]인포맥스!$A:$I,9,0)</f>
        <v>#N/A</v>
      </c>
      <c r="U865" s="70" t="e">
        <f t="shared" si="69"/>
        <v>#N/A</v>
      </c>
    </row>
    <row r="866" spans="1:21" x14ac:dyDescent="0.25">
      <c r="A866" s="3">
        <v>18079</v>
      </c>
      <c r="B866" s="29" t="e">
        <f>NA()</f>
        <v>#N/A</v>
      </c>
      <c r="C866" s="29" t="e">
        <v>#N/A</v>
      </c>
      <c r="D866" s="50">
        <f>31.6</f>
        <v>31.6</v>
      </c>
      <c r="E866" s="30">
        <v>31.6</v>
      </c>
      <c r="F866" s="29" t="e">
        <f>NA()</f>
        <v>#N/A</v>
      </c>
      <c r="G866" s="31" t="e">
        <v>#N/A</v>
      </c>
      <c r="H866" s="51" t="e">
        <f t="shared" si="66"/>
        <v>#N/A</v>
      </c>
      <c r="I866" s="29" t="e">
        <f>NA()</f>
        <v>#N/A</v>
      </c>
      <c r="J866" s="31" t="e">
        <v>#N/A</v>
      </c>
      <c r="K866" s="51" t="e">
        <f t="shared" si="67"/>
        <v>#N/A</v>
      </c>
      <c r="L866" s="29" t="e">
        <f>NA()</f>
        <v>#N/A</v>
      </c>
      <c r="M866" s="30" t="e">
        <v>#N/A</v>
      </c>
      <c r="N866" s="29" t="e">
        <f>NA()</f>
        <v>#N/A</v>
      </c>
      <c r="O866" s="29" t="e">
        <v>#N/A</v>
      </c>
      <c r="P866" s="51" t="e">
        <f t="shared" si="65"/>
        <v>#N/A</v>
      </c>
      <c r="Q866" s="29" t="e">
        <f>NA()</f>
        <v>#N/A</v>
      </c>
      <c r="R866" s="43" t="e">
        <v>#N/A</v>
      </c>
      <c r="S866" s="32" t="e">
        <f t="shared" si="68"/>
        <v>#N/A</v>
      </c>
      <c r="T866" s="54" t="e">
        <f>VLOOKUP(A866,[1]인포맥스!$A:$I,9,0)</f>
        <v>#N/A</v>
      </c>
      <c r="U866" s="70" t="e">
        <f t="shared" si="69"/>
        <v>#N/A</v>
      </c>
    </row>
    <row r="867" spans="1:21" x14ac:dyDescent="0.25">
      <c r="A867" s="3">
        <v>18049</v>
      </c>
      <c r="B867" s="29" t="e">
        <f>NA()</f>
        <v>#N/A</v>
      </c>
      <c r="C867" s="29" t="e">
        <v>#N/A</v>
      </c>
      <c r="D867" s="50">
        <f>32.6</f>
        <v>32.6</v>
      </c>
      <c r="E867" s="30">
        <v>32.6</v>
      </c>
      <c r="F867" s="29" t="e">
        <f>NA()</f>
        <v>#N/A</v>
      </c>
      <c r="G867" s="31" t="e">
        <v>#N/A</v>
      </c>
      <c r="H867" s="51" t="e">
        <f t="shared" si="66"/>
        <v>#N/A</v>
      </c>
      <c r="I867" s="29" t="e">
        <f>NA()</f>
        <v>#N/A</v>
      </c>
      <c r="J867" s="31" t="e">
        <v>#N/A</v>
      </c>
      <c r="K867" s="51" t="e">
        <f t="shared" si="67"/>
        <v>#N/A</v>
      </c>
      <c r="L867" s="29" t="e">
        <f>NA()</f>
        <v>#N/A</v>
      </c>
      <c r="M867" s="30" t="e">
        <v>#N/A</v>
      </c>
      <c r="N867" s="29" t="e">
        <f>NA()</f>
        <v>#N/A</v>
      </c>
      <c r="O867" s="29" t="e">
        <v>#N/A</v>
      </c>
      <c r="P867" s="51" t="e">
        <f t="shared" si="65"/>
        <v>#N/A</v>
      </c>
      <c r="Q867" s="29" t="e">
        <f>NA()</f>
        <v>#N/A</v>
      </c>
      <c r="R867" s="43" t="e">
        <v>#N/A</v>
      </c>
      <c r="S867" s="32" t="e">
        <f t="shared" si="68"/>
        <v>#N/A</v>
      </c>
      <c r="T867" s="54" t="e">
        <f>VLOOKUP(A867,[1]인포맥스!$A:$I,9,0)</f>
        <v>#N/A</v>
      </c>
      <c r="U867" s="70" t="e">
        <f t="shared" si="69"/>
        <v>#N/A</v>
      </c>
    </row>
    <row r="868" spans="1:21" x14ac:dyDescent="0.25">
      <c r="A868" s="3">
        <v>18018</v>
      </c>
      <c r="B868" s="29" t="e">
        <f>NA()</f>
        <v>#N/A</v>
      </c>
      <c r="C868" s="29" t="e">
        <v>#N/A</v>
      </c>
      <c r="D868" s="50">
        <f>35.5</f>
        <v>35.5</v>
      </c>
      <c r="E868" s="30">
        <v>35.5</v>
      </c>
      <c r="F868" s="29" t="e">
        <f>NA()</f>
        <v>#N/A</v>
      </c>
      <c r="G868" s="31" t="e">
        <v>#N/A</v>
      </c>
      <c r="H868" s="51" t="e">
        <f t="shared" si="66"/>
        <v>#N/A</v>
      </c>
      <c r="I868" s="29" t="e">
        <f>NA()</f>
        <v>#N/A</v>
      </c>
      <c r="J868" s="31" t="e">
        <v>#N/A</v>
      </c>
      <c r="K868" s="51" t="e">
        <f t="shared" si="67"/>
        <v>#N/A</v>
      </c>
      <c r="L868" s="29" t="e">
        <f>NA()</f>
        <v>#N/A</v>
      </c>
      <c r="M868" s="30" t="e">
        <v>#N/A</v>
      </c>
      <c r="N868" s="29" t="e">
        <f>NA()</f>
        <v>#N/A</v>
      </c>
      <c r="O868" s="29" t="e">
        <v>#N/A</v>
      </c>
      <c r="P868" s="51" t="e">
        <f t="shared" si="65"/>
        <v>#N/A</v>
      </c>
      <c r="Q868" s="29" t="e">
        <f>NA()</f>
        <v>#N/A</v>
      </c>
      <c r="R868" s="43" t="e">
        <v>#N/A</v>
      </c>
      <c r="S868" s="32" t="e">
        <f t="shared" si="68"/>
        <v>#N/A</v>
      </c>
      <c r="T868" s="54" t="e">
        <f>VLOOKUP(A868,[1]인포맥스!$A:$I,9,0)</f>
        <v>#N/A</v>
      </c>
      <c r="U868" s="70" t="e">
        <f t="shared" si="69"/>
        <v>#N/A</v>
      </c>
    </row>
    <row r="869" spans="1:21" x14ac:dyDescent="0.25">
      <c r="A869" s="3">
        <v>17988</v>
      </c>
      <c r="B869" s="29" t="e">
        <f>NA()</f>
        <v>#N/A</v>
      </c>
      <c r="C869" s="29" t="e">
        <v>#N/A</v>
      </c>
      <c r="D869" s="50">
        <f>34.5</f>
        <v>34.5</v>
      </c>
      <c r="E869" s="30">
        <v>34.5</v>
      </c>
      <c r="F869" s="29" t="e">
        <f>NA()</f>
        <v>#N/A</v>
      </c>
      <c r="G869" s="31" t="e">
        <v>#N/A</v>
      </c>
      <c r="H869" s="51" t="e">
        <f t="shared" si="66"/>
        <v>#N/A</v>
      </c>
      <c r="I869" s="29" t="e">
        <f>NA()</f>
        <v>#N/A</v>
      </c>
      <c r="J869" s="31" t="e">
        <v>#N/A</v>
      </c>
      <c r="K869" s="51" t="e">
        <f t="shared" si="67"/>
        <v>#N/A</v>
      </c>
      <c r="L869" s="29" t="e">
        <f>NA()</f>
        <v>#N/A</v>
      </c>
      <c r="M869" s="30" t="e">
        <v>#N/A</v>
      </c>
      <c r="N869" s="29" t="e">
        <f>NA()</f>
        <v>#N/A</v>
      </c>
      <c r="O869" s="29" t="e">
        <v>#N/A</v>
      </c>
      <c r="P869" s="51" t="e">
        <f t="shared" si="65"/>
        <v>#N/A</v>
      </c>
      <c r="Q869" s="29" t="e">
        <f>NA()</f>
        <v>#N/A</v>
      </c>
      <c r="R869" s="43" t="e">
        <v>#N/A</v>
      </c>
      <c r="S869" s="32" t="e">
        <f t="shared" si="68"/>
        <v>#N/A</v>
      </c>
      <c r="T869" s="54" t="e">
        <f>VLOOKUP(A869,[1]인포맥스!$A:$I,9,0)</f>
        <v>#N/A</v>
      </c>
      <c r="U869" s="70" t="e">
        <f t="shared" si="69"/>
        <v>#N/A</v>
      </c>
    </row>
    <row r="870" spans="1:21" x14ac:dyDescent="0.25">
      <c r="A870" s="3">
        <v>17957</v>
      </c>
      <c r="B870" s="29" t="e">
        <f>NA()</f>
        <v>#N/A</v>
      </c>
      <c r="C870" s="29" t="e">
        <v>#N/A</v>
      </c>
      <c r="D870" s="50">
        <f>31.3</f>
        <v>31.3</v>
      </c>
      <c r="E870" s="30">
        <v>31.3</v>
      </c>
      <c r="F870" s="29" t="e">
        <f>NA()</f>
        <v>#N/A</v>
      </c>
      <c r="G870" s="31" t="e">
        <v>#N/A</v>
      </c>
      <c r="H870" s="51" t="e">
        <f t="shared" si="66"/>
        <v>#N/A</v>
      </c>
      <c r="I870" s="29" t="e">
        <f>NA()</f>
        <v>#N/A</v>
      </c>
      <c r="J870" s="31" t="e">
        <v>#N/A</v>
      </c>
      <c r="K870" s="51" t="e">
        <f t="shared" si="67"/>
        <v>#N/A</v>
      </c>
      <c r="L870" s="29" t="e">
        <f>NA()</f>
        <v>#N/A</v>
      </c>
      <c r="M870" s="30" t="e">
        <v>#N/A</v>
      </c>
      <c r="N870" s="29" t="e">
        <f>NA()</f>
        <v>#N/A</v>
      </c>
      <c r="O870" s="29" t="e">
        <v>#N/A</v>
      </c>
      <c r="P870" s="51" t="e">
        <f t="shared" si="65"/>
        <v>#N/A</v>
      </c>
      <c r="Q870" s="29" t="e">
        <f>NA()</f>
        <v>#N/A</v>
      </c>
      <c r="R870" s="43" t="e">
        <v>#N/A</v>
      </c>
      <c r="S870" s="32" t="e">
        <f t="shared" si="68"/>
        <v>#N/A</v>
      </c>
      <c r="T870" s="54" t="e">
        <f>VLOOKUP(A870,[1]인포맥스!$A:$I,9,0)</f>
        <v>#N/A</v>
      </c>
      <c r="U870" s="70" t="e">
        <f t="shared" si="69"/>
        <v>#N/A</v>
      </c>
    </row>
    <row r="871" spans="1:21" x14ac:dyDescent="0.25">
      <c r="A871" s="3">
        <v>17929</v>
      </c>
      <c r="B871" s="29" t="e">
        <f>NA()</f>
        <v>#N/A</v>
      </c>
      <c r="C871" s="29" t="e">
        <v>#N/A</v>
      </c>
      <c r="D871" s="50">
        <f>32.9</f>
        <v>32.9</v>
      </c>
      <c r="E871" s="30">
        <v>32.9</v>
      </c>
      <c r="F871" s="29" t="e">
        <f>NA()</f>
        <v>#N/A</v>
      </c>
      <c r="G871" s="31" t="e">
        <v>#N/A</v>
      </c>
      <c r="H871" s="51" t="e">
        <f t="shared" si="66"/>
        <v>#N/A</v>
      </c>
      <c r="I871" s="29" t="e">
        <f>NA()</f>
        <v>#N/A</v>
      </c>
      <c r="J871" s="31" t="e">
        <v>#N/A</v>
      </c>
      <c r="K871" s="51" t="e">
        <f t="shared" si="67"/>
        <v>#N/A</v>
      </c>
      <c r="L871" s="29" t="e">
        <f>NA()</f>
        <v>#N/A</v>
      </c>
      <c r="M871" s="30" t="e">
        <v>#N/A</v>
      </c>
      <c r="N871" s="29" t="e">
        <f>NA()</f>
        <v>#N/A</v>
      </c>
      <c r="O871" s="29" t="e">
        <v>#N/A</v>
      </c>
      <c r="P871" s="51" t="e">
        <f t="shared" si="65"/>
        <v>#N/A</v>
      </c>
      <c r="Q871" s="29" t="e">
        <f>NA()</f>
        <v>#N/A</v>
      </c>
      <c r="R871" s="43" t="e">
        <v>#N/A</v>
      </c>
      <c r="S871" s="32" t="e">
        <f t="shared" si="68"/>
        <v>#N/A</v>
      </c>
      <c r="T871" s="54" t="e">
        <f>VLOOKUP(A871,[1]인포맥스!$A:$I,9,0)</f>
        <v>#N/A</v>
      </c>
      <c r="U871" s="70" t="e">
        <f t="shared" si="69"/>
        <v>#N/A</v>
      </c>
    </row>
    <row r="872" spans="1:21" x14ac:dyDescent="0.25">
      <c r="A872" s="3">
        <v>17898</v>
      </c>
      <c r="B872" s="29" t="e">
        <f>NA()</f>
        <v>#N/A</v>
      </c>
      <c r="C872" s="29" t="e">
        <v>#N/A</v>
      </c>
      <c r="D872" s="50">
        <f>35</f>
        <v>35</v>
      </c>
      <c r="E872" s="30">
        <v>35</v>
      </c>
      <c r="F872" s="29" t="e">
        <f>NA()</f>
        <v>#N/A</v>
      </c>
      <c r="G872" s="31" t="e">
        <v>#N/A</v>
      </c>
      <c r="H872" s="51" t="e">
        <f t="shared" si="66"/>
        <v>#N/A</v>
      </c>
      <c r="I872" s="29" t="e">
        <f>NA()</f>
        <v>#N/A</v>
      </c>
      <c r="J872" s="31" t="e">
        <v>#N/A</v>
      </c>
      <c r="K872" s="51" t="e">
        <f t="shared" si="67"/>
        <v>#N/A</v>
      </c>
      <c r="L872" s="29" t="e">
        <f>NA()</f>
        <v>#N/A</v>
      </c>
      <c r="M872" s="30" t="e">
        <v>#N/A</v>
      </c>
      <c r="N872" s="29" t="e">
        <f>NA()</f>
        <v>#N/A</v>
      </c>
      <c r="O872" s="29" t="e">
        <v>#N/A</v>
      </c>
      <c r="P872" s="51" t="e">
        <f t="shared" si="65"/>
        <v>#N/A</v>
      </c>
      <c r="Q872" s="29" t="e">
        <f>NA()</f>
        <v>#N/A</v>
      </c>
      <c r="R872" s="43" t="e">
        <v>#N/A</v>
      </c>
      <c r="S872" s="32" t="e">
        <f t="shared" si="68"/>
        <v>#N/A</v>
      </c>
      <c r="T872" s="54" t="e">
        <f>VLOOKUP(A872,[1]인포맥스!$A:$I,9,0)</f>
        <v>#N/A</v>
      </c>
      <c r="U872" s="70" t="e">
        <f t="shared" si="69"/>
        <v>#N/A</v>
      </c>
    </row>
    <row r="873" spans="1:21" x14ac:dyDescent="0.25">
      <c r="A873" s="3">
        <v>17867</v>
      </c>
      <c r="B873" s="29" t="e">
        <f>NA()</f>
        <v>#N/A</v>
      </c>
      <c r="C873" s="29" t="e">
        <v>#N/A</v>
      </c>
      <c r="D873" s="50">
        <f>42.4</f>
        <v>42.4</v>
      </c>
      <c r="E873" s="30">
        <v>42.4</v>
      </c>
      <c r="F873" s="29" t="e">
        <f>NA()</f>
        <v>#N/A</v>
      </c>
      <c r="G873" s="31" t="e">
        <v>#N/A</v>
      </c>
      <c r="H873" s="51" t="e">
        <f t="shared" si="66"/>
        <v>#N/A</v>
      </c>
      <c r="I873" s="29" t="e">
        <f>NA()</f>
        <v>#N/A</v>
      </c>
      <c r="J873" s="31" t="e">
        <v>#N/A</v>
      </c>
      <c r="K873" s="51" t="e">
        <f t="shared" si="67"/>
        <v>#N/A</v>
      </c>
      <c r="L873" s="29" t="e">
        <f>NA()</f>
        <v>#N/A</v>
      </c>
      <c r="M873" s="30" t="e">
        <v>#N/A</v>
      </c>
      <c r="N873" s="29" t="e">
        <f>NA()</f>
        <v>#N/A</v>
      </c>
      <c r="O873" s="29" t="e">
        <v>#N/A</v>
      </c>
      <c r="P873" s="51" t="e">
        <f t="shared" si="65"/>
        <v>#N/A</v>
      </c>
      <c r="Q873" s="29" t="e">
        <f>NA()</f>
        <v>#N/A</v>
      </c>
      <c r="R873" s="43" t="e">
        <v>#N/A</v>
      </c>
      <c r="S873" s="32" t="e">
        <f t="shared" si="68"/>
        <v>#N/A</v>
      </c>
      <c r="T873" s="54" t="e">
        <f>VLOOKUP(A873,[1]인포맥스!$A:$I,9,0)</f>
        <v>#N/A</v>
      </c>
      <c r="U873" s="70" t="e">
        <f t="shared" si="69"/>
        <v>#N/A</v>
      </c>
    </row>
    <row r="874" spans="1:21" x14ac:dyDescent="0.25">
      <c r="A874" s="3">
        <v>17837</v>
      </c>
      <c r="B874" s="29" t="e">
        <f>NA()</f>
        <v>#N/A</v>
      </c>
      <c r="C874" s="29" t="e">
        <v>#N/A</v>
      </c>
      <c r="D874" s="50">
        <f>47.2</f>
        <v>47.2</v>
      </c>
      <c r="E874" s="30">
        <v>47.2</v>
      </c>
      <c r="F874" s="29" t="e">
        <f>NA()</f>
        <v>#N/A</v>
      </c>
      <c r="G874" s="31" t="e">
        <v>#N/A</v>
      </c>
      <c r="H874" s="51" t="e">
        <f t="shared" si="66"/>
        <v>#N/A</v>
      </c>
      <c r="I874" s="29" t="e">
        <f>NA()</f>
        <v>#N/A</v>
      </c>
      <c r="J874" s="31" t="e">
        <v>#N/A</v>
      </c>
      <c r="K874" s="51" t="e">
        <f t="shared" si="67"/>
        <v>#N/A</v>
      </c>
      <c r="L874" s="29" t="e">
        <f>NA()</f>
        <v>#N/A</v>
      </c>
      <c r="M874" s="30" t="e">
        <v>#N/A</v>
      </c>
      <c r="N874" s="29" t="e">
        <f>NA()</f>
        <v>#N/A</v>
      </c>
      <c r="O874" s="29" t="e">
        <v>#N/A</v>
      </c>
      <c r="P874" s="51" t="e">
        <f t="shared" si="65"/>
        <v>#N/A</v>
      </c>
      <c r="Q874" s="29" t="e">
        <f>NA()</f>
        <v>#N/A</v>
      </c>
      <c r="R874" s="43" t="e">
        <v>#N/A</v>
      </c>
      <c r="S874" s="32" t="e">
        <f t="shared" si="68"/>
        <v>#N/A</v>
      </c>
      <c r="T874" s="54" t="e">
        <f>VLOOKUP(A874,[1]인포맥스!$A:$I,9,0)</f>
        <v>#N/A</v>
      </c>
      <c r="U874" s="70" t="e">
        <f t="shared" si="69"/>
        <v>#N/A</v>
      </c>
    </row>
    <row r="875" spans="1:21" x14ac:dyDescent="0.25">
      <c r="A875" s="3">
        <v>17806</v>
      </c>
      <c r="B875" s="29" t="e">
        <f>NA()</f>
        <v>#N/A</v>
      </c>
      <c r="C875" s="29" t="e">
        <v>#N/A</v>
      </c>
      <c r="D875" s="50">
        <f>42.1</f>
        <v>42.1</v>
      </c>
      <c r="E875" s="30">
        <v>42.1</v>
      </c>
      <c r="F875" s="29" t="e">
        <f>NA()</f>
        <v>#N/A</v>
      </c>
      <c r="G875" s="31" t="e">
        <v>#N/A</v>
      </c>
      <c r="H875" s="51" t="e">
        <f t="shared" si="66"/>
        <v>#N/A</v>
      </c>
      <c r="I875" s="29" t="e">
        <f>NA()</f>
        <v>#N/A</v>
      </c>
      <c r="J875" s="31" t="e">
        <v>#N/A</v>
      </c>
      <c r="K875" s="51" t="e">
        <f t="shared" si="67"/>
        <v>#N/A</v>
      </c>
      <c r="L875" s="29" t="e">
        <f>NA()</f>
        <v>#N/A</v>
      </c>
      <c r="M875" s="30" t="e">
        <v>#N/A</v>
      </c>
      <c r="N875" s="29" t="e">
        <f>NA()</f>
        <v>#N/A</v>
      </c>
      <c r="O875" s="29" t="e">
        <v>#N/A</v>
      </c>
      <c r="P875" s="51" t="e">
        <f t="shared" si="65"/>
        <v>#N/A</v>
      </c>
      <c r="Q875" s="29" t="e">
        <f>NA()</f>
        <v>#N/A</v>
      </c>
      <c r="R875" s="43" t="e">
        <v>#N/A</v>
      </c>
      <c r="S875" s="32" t="e">
        <f t="shared" si="68"/>
        <v>#N/A</v>
      </c>
      <c r="T875" s="54" t="e">
        <f>VLOOKUP(A875,[1]인포맥스!$A:$I,9,0)</f>
        <v>#N/A</v>
      </c>
      <c r="U875" s="70" t="e">
        <f t="shared" si="69"/>
        <v>#N/A</v>
      </c>
    </row>
    <row r="876" spans="1:21" x14ac:dyDescent="0.25">
      <c r="A876" s="3">
        <v>17776</v>
      </c>
      <c r="B876" s="29" t="e">
        <f>NA()</f>
        <v>#N/A</v>
      </c>
      <c r="C876" s="29" t="e">
        <v>#N/A</v>
      </c>
      <c r="D876" s="50">
        <f>45.1</f>
        <v>45.1</v>
      </c>
      <c r="E876" s="30">
        <v>45.1</v>
      </c>
      <c r="F876" s="29" t="e">
        <f>NA()</f>
        <v>#N/A</v>
      </c>
      <c r="G876" s="31" t="e">
        <v>#N/A</v>
      </c>
      <c r="H876" s="51" t="e">
        <f t="shared" si="66"/>
        <v>#N/A</v>
      </c>
      <c r="I876" s="29" t="e">
        <f>NA()</f>
        <v>#N/A</v>
      </c>
      <c r="J876" s="31" t="e">
        <v>#N/A</v>
      </c>
      <c r="K876" s="51" t="e">
        <f t="shared" si="67"/>
        <v>#N/A</v>
      </c>
      <c r="L876" s="29" t="e">
        <f>NA()</f>
        <v>#N/A</v>
      </c>
      <c r="M876" s="30" t="e">
        <v>#N/A</v>
      </c>
      <c r="N876" s="29" t="e">
        <f>NA()</f>
        <v>#N/A</v>
      </c>
      <c r="O876" s="29" t="e">
        <v>#N/A</v>
      </c>
      <c r="P876" s="51" t="e">
        <f t="shared" si="65"/>
        <v>#N/A</v>
      </c>
      <c r="Q876" s="29" t="e">
        <f>NA()</f>
        <v>#N/A</v>
      </c>
      <c r="R876" s="43" t="e">
        <v>#N/A</v>
      </c>
      <c r="S876" s="32" t="e">
        <f t="shared" si="68"/>
        <v>#N/A</v>
      </c>
      <c r="T876" s="54" t="e">
        <f>VLOOKUP(A876,[1]인포맥스!$A:$I,9,0)</f>
        <v>#N/A</v>
      </c>
      <c r="U876" s="70" t="e">
        <f t="shared" si="69"/>
        <v>#N/A</v>
      </c>
    </row>
    <row r="877" spans="1:21" x14ac:dyDescent="0.25">
      <c r="A877" s="3">
        <v>17745</v>
      </c>
      <c r="B877" s="29" t="e">
        <f>NA()</f>
        <v>#N/A</v>
      </c>
      <c r="C877" s="29" t="e">
        <v>#N/A</v>
      </c>
      <c r="D877" s="50">
        <f>48.4</f>
        <v>48.4</v>
      </c>
      <c r="E877" s="30">
        <v>48.4</v>
      </c>
      <c r="F877" s="29" t="e">
        <f>NA()</f>
        <v>#N/A</v>
      </c>
      <c r="G877" s="31" t="e">
        <v>#N/A</v>
      </c>
      <c r="H877" s="51" t="e">
        <f t="shared" si="66"/>
        <v>#N/A</v>
      </c>
      <c r="I877" s="29" t="e">
        <f>NA()</f>
        <v>#N/A</v>
      </c>
      <c r="J877" s="31" t="e">
        <v>#N/A</v>
      </c>
      <c r="K877" s="51" t="e">
        <f t="shared" si="67"/>
        <v>#N/A</v>
      </c>
      <c r="L877" s="29" t="e">
        <f>NA()</f>
        <v>#N/A</v>
      </c>
      <c r="M877" s="30" t="e">
        <v>#N/A</v>
      </c>
      <c r="N877" s="29" t="e">
        <f>NA()</f>
        <v>#N/A</v>
      </c>
      <c r="O877" s="29" t="e">
        <v>#N/A</v>
      </c>
      <c r="P877" s="51" t="e">
        <f t="shared" si="65"/>
        <v>#N/A</v>
      </c>
      <c r="Q877" s="29" t="e">
        <f>NA()</f>
        <v>#N/A</v>
      </c>
      <c r="R877" s="43" t="e">
        <v>#N/A</v>
      </c>
      <c r="S877" s="32" t="e">
        <f t="shared" si="68"/>
        <v>#N/A</v>
      </c>
      <c r="T877" s="54" t="e">
        <f>VLOOKUP(A877,[1]인포맥스!$A:$I,9,0)</f>
        <v>#N/A</v>
      </c>
      <c r="U877" s="70" t="e">
        <f t="shared" si="69"/>
        <v>#N/A</v>
      </c>
    </row>
    <row r="878" spans="1:21" x14ac:dyDescent="0.25">
      <c r="A878" s="3">
        <v>17714</v>
      </c>
      <c r="B878" s="29" t="e">
        <f>NA()</f>
        <v>#N/A</v>
      </c>
      <c r="C878" s="29" t="e">
        <v>#N/A</v>
      </c>
      <c r="D878" s="50">
        <f>53</f>
        <v>53</v>
      </c>
      <c r="E878" s="30">
        <v>53</v>
      </c>
      <c r="F878" s="29" t="e">
        <f>NA()</f>
        <v>#N/A</v>
      </c>
      <c r="G878" s="31" t="e">
        <v>#N/A</v>
      </c>
      <c r="H878" s="51" t="e">
        <f t="shared" si="66"/>
        <v>#N/A</v>
      </c>
      <c r="I878" s="29" t="e">
        <f>NA()</f>
        <v>#N/A</v>
      </c>
      <c r="J878" s="31" t="e">
        <v>#N/A</v>
      </c>
      <c r="K878" s="51" t="e">
        <f t="shared" si="67"/>
        <v>#N/A</v>
      </c>
      <c r="L878" s="29" t="e">
        <f>NA()</f>
        <v>#N/A</v>
      </c>
      <c r="M878" s="30" t="e">
        <v>#N/A</v>
      </c>
      <c r="N878" s="29" t="e">
        <f>NA()</f>
        <v>#N/A</v>
      </c>
      <c r="O878" s="29" t="e">
        <v>#N/A</v>
      </c>
      <c r="P878" s="51" t="e">
        <f t="shared" si="65"/>
        <v>#N/A</v>
      </c>
      <c r="Q878" s="29" t="e">
        <f>NA()</f>
        <v>#N/A</v>
      </c>
      <c r="R878" s="43" t="e">
        <v>#N/A</v>
      </c>
      <c r="S878" s="32" t="e">
        <f t="shared" si="68"/>
        <v>#N/A</v>
      </c>
      <c r="T878" s="54" t="e">
        <f>VLOOKUP(A878,[1]인포맥스!$A:$I,9,0)</f>
        <v>#N/A</v>
      </c>
      <c r="U878" s="70" t="e">
        <f t="shared" si="69"/>
        <v>#N/A</v>
      </c>
    </row>
    <row r="879" spans="1:21" x14ac:dyDescent="0.25">
      <c r="A879" s="3">
        <v>17684</v>
      </c>
      <c r="B879" s="29" t="e">
        <f>NA()</f>
        <v>#N/A</v>
      </c>
      <c r="C879" s="29" t="e">
        <v>#N/A</v>
      </c>
      <c r="D879" s="50">
        <f>49.5</f>
        <v>49.5</v>
      </c>
      <c r="E879" s="30">
        <v>49.5</v>
      </c>
      <c r="F879" s="29" t="e">
        <f>NA()</f>
        <v>#N/A</v>
      </c>
      <c r="G879" s="31" t="e">
        <v>#N/A</v>
      </c>
      <c r="H879" s="51" t="e">
        <f t="shared" si="66"/>
        <v>#N/A</v>
      </c>
      <c r="I879" s="29" t="e">
        <f>NA()</f>
        <v>#N/A</v>
      </c>
      <c r="J879" s="31" t="e">
        <v>#N/A</v>
      </c>
      <c r="K879" s="51" t="e">
        <f t="shared" si="67"/>
        <v>#N/A</v>
      </c>
      <c r="L879" s="29" t="e">
        <f>NA()</f>
        <v>#N/A</v>
      </c>
      <c r="M879" s="30" t="e">
        <v>#N/A</v>
      </c>
      <c r="N879" s="29" t="e">
        <f>NA()</f>
        <v>#N/A</v>
      </c>
      <c r="O879" s="29" t="e">
        <v>#N/A</v>
      </c>
      <c r="P879" s="51" t="e">
        <f t="shared" si="65"/>
        <v>#N/A</v>
      </c>
      <c r="Q879" s="29" t="e">
        <f>NA()</f>
        <v>#N/A</v>
      </c>
      <c r="R879" s="43" t="e">
        <v>#N/A</v>
      </c>
      <c r="S879" s="32" t="e">
        <f t="shared" si="68"/>
        <v>#N/A</v>
      </c>
      <c r="T879" s="54" t="e">
        <f>VLOOKUP(A879,[1]인포맥스!$A:$I,9,0)</f>
        <v>#N/A</v>
      </c>
      <c r="U879" s="70" t="e">
        <f t="shared" si="69"/>
        <v>#N/A</v>
      </c>
    </row>
    <row r="880" spans="1:21" x14ac:dyDescent="0.25">
      <c r="A880" s="3">
        <v>17653</v>
      </c>
      <c r="B880" s="29" t="e">
        <f>NA()</f>
        <v>#N/A</v>
      </c>
      <c r="C880" s="29" t="e">
        <v>#N/A</v>
      </c>
      <c r="D880" s="50">
        <f>45.4</f>
        <v>45.4</v>
      </c>
      <c r="E880" s="30">
        <v>45.4</v>
      </c>
      <c r="F880" s="29" t="e">
        <f>NA()</f>
        <v>#N/A</v>
      </c>
      <c r="G880" s="31" t="e">
        <v>#N/A</v>
      </c>
      <c r="H880" s="51" t="e">
        <f t="shared" si="66"/>
        <v>#N/A</v>
      </c>
      <c r="I880" s="29" t="e">
        <f>NA()</f>
        <v>#N/A</v>
      </c>
      <c r="J880" s="31" t="e">
        <v>#N/A</v>
      </c>
      <c r="K880" s="51" t="e">
        <f t="shared" si="67"/>
        <v>#N/A</v>
      </c>
      <c r="L880" s="29" t="e">
        <f>NA()</f>
        <v>#N/A</v>
      </c>
      <c r="M880" s="30" t="e">
        <v>#N/A</v>
      </c>
      <c r="N880" s="29" t="e">
        <f>NA()</f>
        <v>#N/A</v>
      </c>
      <c r="O880" s="29" t="e">
        <v>#N/A</v>
      </c>
      <c r="P880" s="51" t="e">
        <f t="shared" si="65"/>
        <v>#N/A</v>
      </c>
      <c r="Q880" s="29" t="e">
        <f>NA()</f>
        <v>#N/A</v>
      </c>
      <c r="R880" s="43" t="e">
        <v>#N/A</v>
      </c>
      <c r="S880" s="32" t="e">
        <f t="shared" si="68"/>
        <v>#N/A</v>
      </c>
      <c r="T880" s="54" t="e">
        <f>VLOOKUP(A880,[1]인포맥스!$A:$I,9,0)</f>
        <v>#N/A</v>
      </c>
      <c r="U880" s="70" t="e">
        <f t="shared" si="69"/>
        <v>#N/A</v>
      </c>
    </row>
    <row r="881" spans="1:21" x14ac:dyDescent="0.25">
      <c r="A881" s="3">
        <v>17623</v>
      </c>
      <c r="B881" s="29" t="e">
        <f>NA()</f>
        <v>#N/A</v>
      </c>
      <c r="C881" s="29" t="e">
        <v>#N/A</v>
      </c>
      <c r="D881" s="50">
        <f>43.3</f>
        <v>43.3</v>
      </c>
      <c r="E881" s="30">
        <v>43.3</v>
      </c>
      <c r="F881" s="29" t="e">
        <f>NA()</f>
        <v>#N/A</v>
      </c>
      <c r="G881" s="31" t="e">
        <v>#N/A</v>
      </c>
      <c r="H881" s="51" t="e">
        <f t="shared" si="66"/>
        <v>#N/A</v>
      </c>
      <c r="I881" s="29" t="e">
        <f>NA()</f>
        <v>#N/A</v>
      </c>
      <c r="J881" s="31" t="e">
        <v>#N/A</v>
      </c>
      <c r="K881" s="51" t="e">
        <f t="shared" si="67"/>
        <v>#N/A</v>
      </c>
      <c r="L881" s="29" t="e">
        <f>NA()</f>
        <v>#N/A</v>
      </c>
      <c r="M881" s="30" t="e">
        <v>#N/A</v>
      </c>
      <c r="N881" s="29" t="e">
        <f>NA()</f>
        <v>#N/A</v>
      </c>
      <c r="O881" s="29" t="e">
        <v>#N/A</v>
      </c>
      <c r="P881" s="51" t="e">
        <f t="shared" si="65"/>
        <v>#N/A</v>
      </c>
      <c r="Q881" s="29" t="e">
        <f>NA()</f>
        <v>#N/A</v>
      </c>
      <c r="R881" s="43" t="e">
        <v>#N/A</v>
      </c>
      <c r="S881" s="32" t="e">
        <f t="shared" si="68"/>
        <v>#N/A</v>
      </c>
      <c r="T881" s="54" t="e">
        <f>VLOOKUP(A881,[1]인포맥스!$A:$I,9,0)</f>
        <v>#N/A</v>
      </c>
      <c r="U881" s="70" t="e">
        <f t="shared" si="69"/>
        <v>#N/A</v>
      </c>
    </row>
    <row r="882" spans="1:21" x14ac:dyDescent="0.25">
      <c r="A882" s="3">
        <v>17592</v>
      </c>
      <c r="B882" s="29" t="e">
        <f>NA()</f>
        <v>#N/A</v>
      </c>
      <c r="C882" s="29" t="e">
        <v>#N/A</v>
      </c>
      <c r="D882" s="50">
        <f>50.2</f>
        <v>50.2</v>
      </c>
      <c r="E882" s="30">
        <v>50.2</v>
      </c>
      <c r="F882" s="29" t="e">
        <f>NA()</f>
        <v>#N/A</v>
      </c>
      <c r="G882" s="31" t="e">
        <v>#N/A</v>
      </c>
      <c r="H882" s="51" t="e">
        <f t="shared" si="66"/>
        <v>#N/A</v>
      </c>
      <c r="I882" s="29" t="e">
        <f>NA()</f>
        <v>#N/A</v>
      </c>
      <c r="J882" s="31" t="e">
        <v>#N/A</v>
      </c>
      <c r="K882" s="51" t="e">
        <f t="shared" si="67"/>
        <v>#N/A</v>
      </c>
      <c r="L882" s="29" t="e">
        <f>NA()</f>
        <v>#N/A</v>
      </c>
      <c r="M882" s="30" t="e">
        <v>#N/A</v>
      </c>
      <c r="N882" s="29" t="e">
        <f>NA()</f>
        <v>#N/A</v>
      </c>
      <c r="O882" s="29" t="e">
        <v>#N/A</v>
      </c>
      <c r="P882" s="51" t="e">
        <f t="shared" si="65"/>
        <v>#N/A</v>
      </c>
      <c r="Q882" s="29" t="e">
        <f>NA()</f>
        <v>#N/A</v>
      </c>
      <c r="R882" s="43" t="e">
        <v>#N/A</v>
      </c>
      <c r="S882" s="32" t="e">
        <f t="shared" si="68"/>
        <v>#N/A</v>
      </c>
      <c r="T882" s="54" t="e">
        <f>VLOOKUP(A882,[1]인포맥스!$A:$I,9,0)</f>
        <v>#N/A</v>
      </c>
      <c r="U882" s="70" t="e">
        <f t="shared" si="69"/>
        <v>#N/A</v>
      </c>
    </row>
    <row r="883" spans="1:21" x14ac:dyDescent="0.25">
      <c r="A883" s="3">
        <v>17563</v>
      </c>
      <c r="B883" s="29" t="e">
        <f>NA()</f>
        <v>#N/A</v>
      </c>
      <c r="C883" s="29" t="e">
        <v>#N/A</v>
      </c>
      <c r="D883" s="50">
        <f>51.7</f>
        <v>51.7</v>
      </c>
      <c r="E883" s="30">
        <v>51.7</v>
      </c>
      <c r="F883" s="29" t="e">
        <f>NA()</f>
        <v>#N/A</v>
      </c>
      <c r="G883" s="31" t="e">
        <v>#N/A</v>
      </c>
      <c r="H883" s="51" t="e">
        <f t="shared" si="66"/>
        <v>#N/A</v>
      </c>
      <c r="I883" s="29" t="e">
        <f>NA()</f>
        <v>#N/A</v>
      </c>
      <c r="J883" s="31" t="e">
        <v>#N/A</v>
      </c>
      <c r="K883" s="51" t="e">
        <f t="shared" si="67"/>
        <v>#N/A</v>
      </c>
      <c r="L883" s="29" t="e">
        <f>NA()</f>
        <v>#N/A</v>
      </c>
      <c r="M883" s="30" t="e">
        <v>#N/A</v>
      </c>
      <c r="N883" s="29" t="e">
        <f>NA()</f>
        <v>#N/A</v>
      </c>
      <c r="O883" s="29" t="e">
        <v>#N/A</v>
      </c>
      <c r="P883" s="51" t="e">
        <f t="shared" si="65"/>
        <v>#N/A</v>
      </c>
      <c r="Q883" s="29" t="e">
        <f>NA()</f>
        <v>#N/A</v>
      </c>
      <c r="R883" s="43" t="e">
        <v>#N/A</v>
      </c>
      <c r="S883" s="32" t="e">
        <f t="shared" si="68"/>
        <v>#N/A</v>
      </c>
      <c r="T883" s="54" t="e">
        <f>VLOOKUP(A883,[1]인포맥스!$A:$I,9,0)</f>
        <v>#N/A</v>
      </c>
      <c r="U883" s="70" t="e">
        <f t="shared" si="69"/>
        <v>#N/A</v>
      </c>
    </row>
  </sheetData>
  <mergeCells count="7">
    <mergeCell ref="Q1:U1"/>
    <mergeCell ref="B1:C1"/>
    <mergeCell ref="D1:E1"/>
    <mergeCell ref="F1:H1"/>
    <mergeCell ref="I1:K1"/>
    <mergeCell ref="L1:M1"/>
    <mergeCell ref="N1:P1"/>
  </mergeCells>
  <phoneticPr fontId="19" type="noConversion"/>
  <pageMargins left="0.7" right="0.7" top="0.75" bottom="0.75" header="0.3" footer="0.3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T_Monthly</vt:lpstr>
      <vt:lpstr>data비교작업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Administrator</cp:lastModifiedBy>
  <cp:lastPrinted>2021-05-07T00:07:32Z</cp:lastPrinted>
  <dcterms:created xsi:type="dcterms:W3CDTF">2013-04-03T15:49:21Z</dcterms:created>
  <dcterms:modified xsi:type="dcterms:W3CDTF">2021-05-07T04:37:01Z</dcterms:modified>
</cp:coreProperties>
</file>