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ravis\Desktop\"/>
    </mc:Choice>
  </mc:AlternateContent>
  <bookViews>
    <workbookView xWindow="0" yWindow="0" windowWidth="23040" windowHeight="11352"/>
  </bookViews>
  <sheets>
    <sheet name="Chl" sheetId="1" r:id="rId1"/>
    <sheet name="Cal_040313_12m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2" l="1"/>
  <c r="R31" i="2"/>
  <c r="R28" i="2"/>
  <c r="R26" i="2"/>
  <c r="I21" i="2"/>
  <c r="J19" i="2"/>
  <c r="I18" i="2"/>
  <c r="J17" i="2"/>
  <c r="J18" i="2" s="1"/>
  <c r="I17" i="2"/>
  <c r="J13" i="2"/>
  <c r="N12" i="2"/>
  <c r="M12" i="2"/>
  <c r="O12" i="2" s="1"/>
  <c r="M11" i="2"/>
  <c r="N9" i="2"/>
  <c r="N8" i="2"/>
  <c r="M8" i="2"/>
  <c r="O8" i="2" s="1"/>
  <c r="M7" i="2"/>
  <c r="N6" i="2"/>
  <c r="M6" i="2"/>
  <c r="O6" i="2" s="1"/>
  <c r="M5" i="2"/>
  <c r="I4" i="2"/>
  <c r="I5" i="2" s="1"/>
  <c r="M3" i="2"/>
  <c r="J3" i="2"/>
  <c r="P3" i="2" s="1"/>
  <c r="J2" i="2"/>
  <c r="I19" i="2" s="1"/>
  <c r="H2" i="2"/>
  <c r="N13" i="2" s="1"/>
  <c r="AF20" i="1"/>
  <c r="AA20" i="1"/>
  <c r="AB20" i="1" s="1"/>
  <c r="X20" i="1"/>
  <c r="W20" i="1"/>
  <c r="V20" i="1"/>
  <c r="AF19" i="1"/>
  <c r="AA19" i="1"/>
  <c r="AC19" i="1" s="1"/>
  <c r="X19" i="1"/>
  <c r="W19" i="1"/>
  <c r="V19" i="1"/>
  <c r="AF18" i="1"/>
  <c r="AC18" i="1"/>
  <c r="AB18" i="1"/>
  <c r="AA18" i="1"/>
  <c r="X18" i="1"/>
  <c r="AD18" i="1" s="1"/>
  <c r="W18" i="1"/>
  <c r="AE18" i="1" s="1"/>
  <c r="V18" i="1"/>
  <c r="AF17" i="1"/>
  <c r="AC17" i="1"/>
  <c r="AB17" i="1"/>
  <c r="AA17" i="1"/>
  <c r="X17" i="1"/>
  <c r="AE17" i="1" s="1"/>
  <c r="W17" i="1"/>
  <c r="V17" i="1"/>
  <c r="AF16" i="1"/>
  <c r="AA16" i="1"/>
  <c r="AB16" i="1" s="1"/>
  <c r="X16" i="1"/>
  <c r="W16" i="1"/>
  <c r="V16" i="1"/>
  <c r="AF15" i="1"/>
  <c r="AA15" i="1"/>
  <c r="AC15" i="1" s="1"/>
  <c r="X15" i="1"/>
  <c r="W15" i="1"/>
  <c r="V15" i="1"/>
  <c r="AF14" i="1"/>
  <c r="AC14" i="1"/>
  <c r="AB14" i="1"/>
  <c r="AA14" i="1"/>
  <c r="X14" i="1"/>
  <c r="AD14" i="1" s="1"/>
  <c r="W14" i="1"/>
  <c r="AE14" i="1" s="1"/>
  <c r="V14" i="1"/>
  <c r="AF13" i="1"/>
  <c r="AC13" i="1"/>
  <c r="AB13" i="1"/>
  <c r="AA13" i="1"/>
  <c r="X13" i="1"/>
  <c r="AE13" i="1" s="1"/>
  <c r="W13" i="1"/>
  <c r="V13" i="1"/>
  <c r="AF12" i="1"/>
  <c r="AA12" i="1"/>
  <c r="AB12" i="1" s="1"/>
  <c r="X12" i="1"/>
  <c r="W12" i="1"/>
  <c r="V12" i="1"/>
  <c r="AF11" i="1"/>
  <c r="AA11" i="1"/>
  <c r="AC11" i="1" s="1"/>
  <c r="X11" i="1"/>
  <c r="W11" i="1"/>
  <c r="V11" i="1"/>
  <c r="AF10" i="1"/>
  <c r="AC10" i="1"/>
  <c r="AB10" i="1"/>
  <c r="AA10" i="1"/>
  <c r="X10" i="1"/>
  <c r="AD10" i="1" s="1"/>
  <c r="W10" i="1"/>
  <c r="AE10" i="1" s="1"/>
  <c r="V10" i="1"/>
  <c r="AF9" i="1"/>
  <c r="AC9" i="1"/>
  <c r="AB9" i="1"/>
  <c r="AA9" i="1"/>
  <c r="X9" i="1"/>
  <c r="AE9" i="1" s="1"/>
  <c r="W9" i="1"/>
  <c r="V9" i="1"/>
  <c r="AF8" i="1"/>
  <c r="AA8" i="1"/>
  <c r="AB8" i="1" s="1"/>
  <c r="X8" i="1"/>
  <c r="W8" i="1"/>
  <c r="V8" i="1"/>
  <c r="AF7" i="1"/>
  <c r="AA7" i="1"/>
  <c r="AC7" i="1" s="1"/>
  <c r="X7" i="1"/>
  <c r="W7" i="1"/>
  <c r="V7" i="1"/>
  <c r="AF6" i="1"/>
  <c r="AC6" i="1"/>
  <c r="AB6" i="1"/>
  <c r="AA6" i="1"/>
  <c r="X6" i="1"/>
  <c r="AD6" i="1" s="1"/>
  <c r="W6" i="1"/>
  <c r="AE6" i="1" s="1"/>
  <c r="V6" i="1"/>
  <c r="AF5" i="1"/>
  <c r="AC5" i="1"/>
  <c r="AB5" i="1"/>
  <c r="AA5" i="1"/>
  <c r="X5" i="1"/>
  <c r="AE5" i="1" s="1"/>
  <c r="W5" i="1"/>
  <c r="V5" i="1"/>
  <c r="AF4" i="1"/>
  <c r="AA4" i="1"/>
  <c r="AB4" i="1" s="1"/>
  <c r="X4" i="1"/>
  <c r="W4" i="1"/>
  <c r="V4" i="1"/>
  <c r="AF3" i="1"/>
  <c r="AA3" i="1"/>
  <c r="AC3" i="1" s="1"/>
  <c r="X3" i="1"/>
  <c r="W3" i="1"/>
  <c r="V3" i="1"/>
  <c r="P13" i="2" l="1"/>
  <c r="I6" i="2"/>
  <c r="I7" i="2" s="1"/>
  <c r="J5" i="2"/>
  <c r="P5" i="2" s="1"/>
  <c r="O11" i="2"/>
  <c r="J4" i="2"/>
  <c r="P4" i="2" s="1"/>
  <c r="N3" i="2"/>
  <c r="O3" i="2" s="1"/>
  <c r="M4" i="2"/>
  <c r="N5" i="2"/>
  <c r="O5" i="2" s="1"/>
  <c r="N7" i="2"/>
  <c r="O7" i="2" s="1"/>
  <c r="M10" i="2"/>
  <c r="N11" i="2"/>
  <c r="M13" i="2"/>
  <c r="O13" i="2" s="1"/>
  <c r="N4" i="2"/>
  <c r="J6" i="2"/>
  <c r="M9" i="2"/>
  <c r="O9" i="2" s="1"/>
  <c r="N10" i="2"/>
  <c r="AD7" i="1"/>
  <c r="AE3" i="1"/>
  <c r="AE15" i="1"/>
  <c r="AE7" i="1"/>
  <c r="AD16" i="1"/>
  <c r="AB3" i="1"/>
  <c r="AD3" i="1" s="1"/>
  <c r="AC4" i="1"/>
  <c r="AE4" i="1" s="1"/>
  <c r="AC8" i="1"/>
  <c r="AD8" i="1" s="1"/>
  <c r="AC12" i="1"/>
  <c r="AE12" i="1" s="1"/>
  <c r="AC16" i="1"/>
  <c r="AE16" i="1" s="1"/>
  <c r="AC20" i="1"/>
  <c r="AE20" i="1" s="1"/>
  <c r="AD12" i="1"/>
  <c r="AB7" i="1"/>
  <c r="AD9" i="1"/>
  <c r="AB11" i="1"/>
  <c r="AD11" i="1" s="1"/>
  <c r="AD13" i="1"/>
  <c r="AB15" i="1"/>
  <c r="AD15" i="1" s="1"/>
  <c r="AD17" i="1"/>
  <c r="AB19" i="1"/>
  <c r="AD19" i="1" s="1"/>
  <c r="AD5" i="1"/>
  <c r="Q3" i="2" l="1"/>
  <c r="I23" i="2"/>
  <c r="P6" i="2"/>
  <c r="O10" i="2"/>
  <c r="Q6" i="2" s="1"/>
  <c r="O4" i="2"/>
  <c r="I22" i="2"/>
  <c r="I8" i="2"/>
  <c r="J7" i="2"/>
  <c r="AD4" i="1"/>
  <c r="AE19" i="1"/>
  <c r="AE11" i="1"/>
  <c r="AD20" i="1"/>
  <c r="AE8" i="1"/>
  <c r="P7" i="2" l="1"/>
  <c r="I9" i="2"/>
  <c r="J8" i="2"/>
  <c r="P8" i="2" s="1"/>
  <c r="U9" i="2"/>
  <c r="U3" i="2"/>
  <c r="U8" i="2"/>
  <c r="U13" i="2"/>
  <c r="U10" i="2"/>
  <c r="U6" i="2"/>
  <c r="U4" i="2"/>
  <c r="U11" i="2"/>
  <c r="U7" i="2"/>
  <c r="U5" i="2"/>
  <c r="U12" i="2"/>
  <c r="I10" i="2" l="1"/>
  <c r="J9" i="2"/>
  <c r="I11" i="2" l="1"/>
  <c r="J10" i="2"/>
  <c r="P10" i="2" s="1"/>
  <c r="P9" i="2"/>
  <c r="I12" i="2" l="1"/>
  <c r="J12" i="2" s="1"/>
  <c r="P12" i="2" s="1"/>
  <c r="J11" i="2"/>
  <c r="P11" i="2" s="1"/>
  <c r="R6" i="2" l="1"/>
  <c r="R3" i="2"/>
</calcChain>
</file>

<file path=xl/sharedStrings.xml><?xml version="1.0" encoding="utf-8"?>
<sst xmlns="http://schemas.openxmlformats.org/spreadsheetml/2006/main" count="166" uniqueCount="89">
  <si>
    <t>Cruise #:</t>
  </si>
  <si>
    <t>Date</t>
  </si>
  <si>
    <t>Station 
Start Time (UTC)</t>
  </si>
  <si>
    <t>Station 
End Time (UTC)</t>
  </si>
  <si>
    <t>Niskin Trip Time</t>
  </si>
  <si>
    <t>Lat</t>
  </si>
  <si>
    <t>Lon</t>
  </si>
  <si>
    <t>Station Depth</t>
  </si>
  <si>
    <t>Station-Cast #</t>
  </si>
  <si>
    <t>Niskin #</t>
  </si>
  <si>
    <t>Trip 
Depth</t>
  </si>
  <si>
    <t>Brown Bottle #</t>
  </si>
  <si>
    <t>Replicate</t>
  </si>
  <si>
    <t>Water Depth Rep</t>
  </si>
  <si>
    <t>Filter 
Sample #</t>
  </si>
  <si>
    <t>Vol
Filt</t>
  </si>
  <si>
    <t>Filter
Size</t>
  </si>
  <si>
    <t>Vol Extracted</t>
  </si>
  <si>
    <t>Sample</t>
  </si>
  <si>
    <t>90% Acetone</t>
  </si>
  <si>
    <t>Dilution During Reading</t>
  </si>
  <si>
    <t>Chl_Cal_Filename</t>
  </si>
  <si>
    <t>tau_Calibration</t>
  </si>
  <si>
    <t>Fd_Calibration</t>
  </si>
  <si>
    <t>Rb</t>
  </si>
  <si>
    <t>Ra</t>
  </si>
  <si>
    <t>blank</t>
  </si>
  <si>
    <t>Rb-blank</t>
  </si>
  <si>
    <t>Ra-blank</t>
  </si>
  <si>
    <t>Chl (ug/l)</t>
  </si>
  <si>
    <t>Phaeo (ug/l)</t>
  </si>
  <si>
    <t>Cal_Date</t>
  </si>
  <si>
    <t>Fluorometer</t>
  </si>
  <si>
    <t>Comments</t>
  </si>
  <si>
    <t>KN-221</t>
  </si>
  <si>
    <t>61° 39.462' N</t>
  </si>
  <si>
    <t>33° 4.630' W</t>
  </si>
  <si>
    <t>a</t>
  </si>
  <si>
    <t>04 / 01</t>
  </si>
  <si>
    <t>04 / 02</t>
  </si>
  <si>
    <t>04 / 03</t>
  </si>
  <si>
    <t>04 / 04</t>
  </si>
  <si>
    <t>59° 55.501' N</t>
  </si>
  <si>
    <t>39° 30.505' W</t>
  </si>
  <si>
    <t>05 / 01</t>
  </si>
  <si>
    <t>05 / 02</t>
  </si>
  <si>
    <t>05 / 03</t>
  </si>
  <si>
    <t>59° 57.71' N</t>
  </si>
  <si>
    <t>39° 28.51' W</t>
  </si>
  <si>
    <t>06 / 01</t>
  </si>
  <si>
    <t>06 / 02</t>
  </si>
  <si>
    <t>06 / 03</t>
  </si>
  <si>
    <t>06 / 04</t>
  </si>
  <si>
    <t>59° 55.165' N</t>
  </si>
  <si>
    <t>39° 25.736' W</t>
  </si>
  <si>
    <t>07 / 01</t>
  </si>
  <si>
    <t>07 / 02</t>
  </si>
  <si>
    <t>07 / 03</t>
  </si>
  <si>
    <t>59° 46.281' N</t>
  </si>
  <si>
    <t>39° 38.479' W</t>
  </si>
  <si>
    <t>09 / 01</t>
  </si>
  <si>
    <t>09 / 02</t>
  </si>
  <si>
    <t>09 / 03</t>
  </si>
  <si>
    <t>surface</t>
  </si>
  <si>
    <t>09 / 04</t>
  </si>
  <si>
    <t>Cal_040313_12mm</t>
  </si>
  <si>
    <t>Calibration Date</t>
  </si>
  <si>
    <t>Cruise_Site</t>
  </si>
  <si>
    <t>Personell</t>
  </si>
  <si>
    <t>CALIBRATION</t>
  </si>
  <si>
    <t>Blank_Acetone</t>
  </si>
  <si>
    <t>AvgBlank</t>
  </si>
  <si>
    <t>Dilution</t>
  </si>
  <si>
    <t>ug_l</t>
  </si>
  <si>
    <t>Flurometer_Before_Acid</t>
  </si>
  <si>
    <t>Fluorometer_After_Acid</t>
  </si>
  <si>
    <t>Fluorometer_Before_Acid-AvgBlank</t>
  </si>
  <si>
    <t>Fluorometer_After_Acid-AvgBlank</t>
  </si>
  <si>
    <t>Acid_Ratio__Before-AvgBlank/After-AvgBlank</t>
  </si>
  <si>
    <t>Fd__Chl/Before-AvgBlank</t>
  </si>
  <si>
    <t>tau</t>
  </si>
  <si>
    <t>Fd</t>
  </si>
  <si>
    <t>mvco</t>
  </si>
  <si>
    <t>Turner Designs Aquafluor Handheld 800446</t>
  </si>
  <si>
    <t>taylor</t>
  </si>
  <si>
    <t>full(on spec)</t>
  </si>
  <si>
    <t>old averages</t>
  </si>
  <si>
    <t>*** The 1/20 dilution was done using a 5ml volumetric flask of chl-a stock into 100ml volumetric diluted with 90% acetone</t>
  </si>
  <si>
    <t>IRMINGER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</si>
</sst>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m\ d\,\ yyyy;@"/>
    <numFmt numFmtId="165" formatCode="m/d/yy\ h:mm;@"/>
    <numFmt numFmtId="166" formatCode="0.0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7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2" borderId="2" xfId="0" applyFont="1" applyFill="1" applyBorder="1" applyAlignment="1"/>
    <xf numFmtId="0" fontId="7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 fit, all points</a:t>
            </a:r>
          </a:p>
        </c:rich>
      </c:tx>
      <c:layout>
        <c:manualLayout>
          <c:xMode val="edge"/>
          <c:yMode val="edge"/>
          <c:x val="0.40612287749745568"/>
          <c:y val="3.7542662116040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6746489104839"/>
          <c:y val="0.20477815699658702"/>
          <c:w val="0.72857215458800484"/>
          <c:h val="0.662116040955631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658570060994939"/>
                  <c:y val="3.792534465615005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[1]Cal_040313_12mm!$M$3:$M$13</c:f>
              <c:numCache>
                <c:formatCode>General</c:formatCode>
                <c:ptCount val="11"/>
                <c:pt idx="0">
                  <c:v>1092.1541666666667</c:v>
                </c:pt>
                <c:pt idx="1">
                  <c:v>542.55416666666667</c:v>
                </c:pt>
                <c:pt idx="2">
                  <c:v>278.95416666666665</c:v>
                </c:pt>
                <c:pt idx="3">
                  <c:v>136.95416666666668</c:v>
                </c:pt>
                <c:pt idx="4">
                  <c:v>67.864166666666662</c:v>
                </c:pt>
                <c:pt idx="5">
                  <c:v>33.214166666666671</c:v>
                </c:pt>
                <c:pt idx="6">
                  <c:v>16.634166666666665</c:v>
                </c:pt>
                <c:pt idx="7">
                  <c:v>8.2811666666666675</c:v>
                </c:pt>
                <c:pt idx="8">
                  <c:v>4.2751666666666672</c:v>
                </c:pt>
                <c:pt idx="9" formatCode="0.000">
                  <c:v>2.096166666666667</c:v>
                </c:pt>
                <c:pt idx="10">
                  <c:v>0.82616666666666672</c:v>
                </c:pt>
              </c:numCache>
            </c:numRef>
          </c:xVal>
          <c:yVal>
            <c:numRef>
              <c:f>[1]Cal_040313_12mm!$J$3:$J$13</c:f>
              <c:numCache>
                <c:formatCode>General</c:formatCode>
                <c:ptCount val="11"/>
                <c:pt idx="0">
                  <c:v>538.68991673320409</c:v>
                </c:pt>
                <c:pt idx="1">
                  <c:v>269.34495836660204</c:v>
                </c:pt>
                <c:pt idx="2">
                  <c:v>134.67247918330102</c:v>
                </c:pt>
                <c:pt idx="3">
                  <c:v>67.336239591650511</c:v>
                </c:pt>
                <c:pt idx="4">
                  <c:v>33.668119795825255</c:v>
                </c:pt>
                <c:pt idx="5">
                  <c:v>16.834059897912628</c:v>
                </c:pt>
                <c:pt idx="6">
                  <c:v>8.4170299489563138</c:v>
                </c:pt>
                <c:pt idx="7">
                  <c:v>4.2085149744781569</c:v>
                </c:pt>
                <c:pt idx="8">
                  <c:v>2.1042574872390785</c:v>
                </c:pt>
                <c:pt idx="9">
                  <c:v>1.0521287436195392</c:v>
                </c:pt>
                <c:pt idx="10">
                  <c:v>0.52606437180976962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3-4500-9F04-62323856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5984"/>
        <c:axId val="165946376"/>
      </c:scatterChart>
      <c:valAx>
        <c:axId val="165945984"/>
        <c:scaling>
          <c:logBase val="10"/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0.42653104076276177"/>
              <c:y val="0.90443686006825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6376"/>
        <c:crosses val="autoZero"/>
        <c:crossBetween val="midCat"/>
      </c:valAx>
      <c:valAx>
        <c:axId val="165946376"/>
        <c:scaling>
          <c:logBase val="10"/>
          <c:orientation val="minMax"/>
          <c:max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Chl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49829351535836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5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734758155230589"/>
          <c:y val="0.80887372013651881"/>
          <c:w val="0.25918388772831968"/>
          <c:h val="0.14675767918088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Tau fit vs individual taus</a:t>
            </a:r>
          </a:p>
        </c:rich>
      </c:tx>
      <c:layout>
        <c:manualLayout>
          <c:xMode val="edge"/>
          <c:yMode val="edge"/>
          <c:x val="0.357143285660720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646685314381"/>
          <c:y val="0.21933085501858737"/>
          <c:w val="0.63265369165905194"/>
          <c:h val="0.52416356877323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[1]Cal_040313_12mm!$O$3:$O$13</c:f>
              <c:numCache>
                <c:formatCode>General</c:formatCode>
                <c:ptCount val="11"/>
                <c:pt idx="0">
                  <c:v>1.8874039617791283</c:v>
                </c:pt>
                <c:pt idx="1">
                  <c:v>1.8184903288876477</c:v>
                </c:pt>
                <c:pt idx="2">
                  <c:v>1.8689874654532257</c:v>
                </c:pt>
                <c:pt idx="3">
                  <c:v>1.8548887710070991</c:v>
                </c:pt>
                <c:pt idx="4">
                  <c:v>1.8555218847547219</c:v>
                </c:pt>
                <c:pt idx="5">
                  <c:v>1.8458296670217205</c:v>
                </c:pt>
                <c:pt idx="6">
                  <c:v>1.9141366678813216</c:v>
                </c:pt>
                <c:pt idx="7">
                  <c:v>1.9146468344187122</c:v>
                </c:pt>
                <c:pt idx="8">
                  <c:v>2.0107392020067416</c:v>
                </c:pt>
                <c:pt idx="9">
                  <c:v>2.2343222597264165</c:v>
                </c:pt>
                <c:pt idx="10">
                  <c:v>1.8558592287532758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3-4596-9B1F-EBD7D0052CC6}"/>
            </c:ext>
          </c:extLst>
        </c:ser>
        <c:ser>
          <c:idx val="1"/>
          <c:order val="1"/>
          <c:tx>
            <c:v>fit tau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[1]Cal_040313_12mm!$U$3:$U$13</c:f>
              <c:numCache>
                <c:formatCode>General</c:formatCode>
                <c:ptCount val="11"/>
                <c:pt idx="0">
                  <c:v>1.8724603852227975</c:v>
                </c:pt>
                <c:pt idx="1">
                  <c:v>1.8724603852227975</c:v>
                </c:pt>
                <c:pt idx="2">
                  <c:v>1.8724603852227975</c:v>
                </c:pt>
                <c:pt idx="3">
                  <c:v>1.8724603852227975</c:v>
                </c:pt>
                <c:pt idx="4">
                  <c:v>1.8724603852227975</c:v>
                </c:pt>
                <c:pt idx="5">
                  <c:v>1.8724603852227975</c:v>
                </c:pt>
                <c:pt idx="6">
                  <c:v>1.8724603852227975</c:v>
                </c:pt>
                <c:pt idx="7">
                  <c:v>1.8724603852227975</c:v>
                </c:pt>
                <c:pt idx="8">
                  <c:v>1.8724603852227975</c:v>
                </c:pt>
                <c:pt idx="9">
                  <c:v>1.8724603852227975</c:v>
                </c:pt>
                <c:pt idx="10">
                  <c:v>1.8724603852227975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3-4596-9B1F-EBD7D0052CC6}"/>
            </c:ext>
          </c:extLst>
        </c:ser>
        <c:ser>
          <c:idx val="2"/>
          <c:order val="2"/>
          <c:tx>
            <c:v>1.90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yVal>
            <c:numRef>
              <c:f>[1]Cal_040313_12mm!$V$3:$V$13</c:f>
              <c:numCache>
                <c:formatCode>General</c:formatCode>
                <c:ptCount val="11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3-4596-9B1F-EBD7D00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7160"/>
        <c:axId val="165947552"/>
      </c:scatterChart>
      <c:valAx>
        <c:axId val="16594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Dilution count (1 = max chl)</a:t>
                </a:r>
              </a:p>
            </c:rich>
          </c:tx>
          <c:layout>
            <c:manualLayout>
              <c:xMode val="edge"/>
              <c:yMode val="edge"/>
              <c:x val="0.28979613262627885"/>
              <c:y val="0.85873605947955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7552"/>
        <c:crosses val="autoZero"/>
        <c:crossBetween val="midCat"/>
      </c:valAx>
      <c:valAx>
        <c:axId val="165947552"/>
        <c:scaling>
          <c:orientation val="minMax"/>
          <c:max val="2.8"/>
          <c:min val="1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(Rb-blank)/(Ra-blank)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4535315985130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7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8657132144189"/>
          <c:y val="0.36431226765799257"/>
          <c:w val="0.16938796936097278"/>
          <c:h val="0.23791821561338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scale tau fit</a:t>
            </a:r>
          </a:p>
        </c:rich>
      </c:tx>
      <c:layout>
        <c:manualLayout>
          <c:xMode val="edge"/>
          <c:yMode val="edge"/>
          <c:x val="0.39565263037772452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1751360554687"/>
          <c:y val="0.20538788072088304"/>
          <c:w val="0.72391381189900217"/>
          <c:h val="0.6801369164855473"/>
        </c:manualLayout>
      </c:layout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12644944200096"/>
                  <c:y val="-6.282704404472276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[1]Cal_040313_12mm!$N$3:$N$13</c:f>
              <c:numCache>
                <c:formatCode>General</c:formatCode>
                <c:ptCount val="11"/>
                <c:pt idx="0">
                  <c:v>578.6541666666667</c:v>
                </c:pt>
                <c:pt idx="1">
                  <c:v>298.35416666666663</c:v>
                </c:pt>
                <c:pt idx="2">
                  <c:v>149.25416666666666</c:v>
                </c:pt>
                <c:pt idx="3">
                  <c:v>73.834166666666675</c:v>
                </c:pt>
                <c:pt idx="4">
                  <c:v>36.57416666666667</c:v>
                </c:pt>
                <c:pt idx="5">
                  <c:v>17.994166666666665</c:v>
                </c:pt>
                <c:pt idx="6">
                  <c:v>8.6901666666666664</c:v>
                </c:pt>
                <c:pt idx="7">
                  <c:v>4.325166666666667</c:v>
                </c:pt>
                <c:pt idx="8">
                  <c:v>2.1261666666666668</c:v>
                </c:pt>
                <c:pt idx="9">
                  <c:v>0.93816666666666682</c:v>
                </c:pt>
                <c:pt idx="10" formatCode="0.000">
                  <c:v>0.44516666666666671</c:v>
                </c:pt>
              </c:numCache>
            </c:numRef>
          </c:xVal>
          <c:yVal>
            <c:numRef>
              <c:f>[1]Cal_040313_12mm!$M$3:$M$13</c:f>
              <c:numCache>
                <c:formatCode>General</c:formatCode>
                <c:ptCount val="11"/>
                <c:pt idx="0">
                  <c:v>1092.1541666666667</c:v>
                </c:pt>
                <c:pt idx="1">
                  <c:v>542.55416666666667</c:v>
                </c:pt>
                <c:pt idx="2">
                  <c:v>278.95416666666665</c:v>
                </c:pt>
                <c:pt idx="3">
                  <c:v>136.95416666666668</c:v>
                </c:pt>
                <c:pt idx="4">
                  <c:v>67.864166666666662</c:v>
                </c:pt>
                <c:pt idx="5">
                  <c:v>33.214166666666671</c:v>
                </c:pt>
                <c:pt idx="6">
                  <c:v>16.634166666666665</c:v>
                </c:pt>
                <c:pt idx="7">
                  <c:v>8.2811666666666675</c:v>
                </c:pt>
                <c:pt idx="8">
                  <c:v>4.2751666666666672</c:v>
                </c:pt>
                <c:pt idx="9" formatCode="0.000">
                  <c:v>2.096166666666667</c:v>
                </c:pt>
                <c:pt idx="10">
                  <c:v>0.82616666666666672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AE9-ABC8-9A065C49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51520"/>
        <c:axId val="462151912"/>
      </c:scatterChart>
      <c:valAx>
        <c:axId val="4621515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Ra-blank</a:t>
                </a:r>
              </a:p>
            </c:rich>
          </c:tx>
          <c:layout>
            <c:manualLayout>
              <c:xMode val="edge"/>
              <c:yMode val="edge"/>
              <c:x val="0.41739176081250712"/>
              <c:y val="0.90909373702024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151912"/>
        <c:crosses val="autoZero"/>
        <c:crossBetween val="midCat"/>
      </c:valAx>
      <c:valAx>
        <c:axId val="46215191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3.0434782608695653E-2"/>
              <c:y val="0.4545468685101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15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13111947963026"/>
          <c:y val="0.69360481454969647"/>
          <c:w val="0.29347848910190577"/>
          <c:h val="0.14478149827231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Line fit (tau) excluding top two points, linear scale</a:t>
            </a:r>
          </a:p>
        </c:rich>
      </c:tx>
      <c:layout>
        <c:manualLayout>
          <c:xMode val="edge"/>
          <c:yMode val="edge"/>
          <c:x val="0.20808123227020864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43462640985322"/>
          <c:y val="0.20547979565729962"/>
          <c:w val="0.70505189601463081"/>
          <c:h val="0.62328871349380877"/>
        </c:manualLayout>
      </c:layout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747135966403468"/>
                  <c:y val="6.849356393984327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[1]Cal_040313_12mm!$N$3:$N$13</c:f>
              <c:numCache>
                <c:formatCode>General</c:formatCode>
                <c:ptCount val="11"/>
                <c:pt idx="0">
                  <c:v>578.6541666666667</c:v>
                </c:pt>
                <c:pt idx="1">
                  <c:v>298.35416666666663</c:v>
                </c:pt>
                <c:pt idx="2">
                  <c:v>149.25416666666666</c:v>
                </c:pt>
                <c:pt idx="3">
                  <c:v>73.834166666666675</c:v>
                </c:pt>
                <c:pt idx="4">
                  <c:v>36.57416666666667</c:v>
                </c:pt>
                <c:pt idx="5">
                  <c:v>17.994166666666665</c:v>
                </c:pt>
                <c:pt idx="6">
                  <c:v>8.6901666666666664</c:v>
                </c:pt>
                <c:pt idx="7">
                  <c:v>4.325166666666667</c:v>
                </c:pt>
                <c:pt idx="8">
                  <c:v>2.1261666666666668</c:v>
                </c:pt>
                <c:pt idx="9">
                  <c:v>0.93816666666666682</c:v>
                </c:pt>
                <c:pt idx="10" formatCode="0.000">
                  <c:v>0.44516666666666671</c:v>
                </c:pt>
              </c:numCache>
            </c:numRef>
          </c:xVal>
          <c:yVal>
            <c:numRef>
              <c:f>[1]Cal_040313_12mm!$M$3:$M$13</c:f>
              <c:numCache>
                <c:formatCode>General</c:formatCode>
                <c:ptCount val="11"/>
                <c:pt idx="0">
                  <c:v>1092.1541666666667</c:v>
                </c:pt>
                <c:pt idx="1">
                  <c:v>542.55416666666667</c:v>
                </c:pt>
                <c:pt idx="2">
                  <c:v>278.95416666666665</c:v>
                </c:pt>
                <c:pt idx="3">
                  <c:v>136.95416666666668</c:v>
                </c:pt>
                <c:pt idx="4">
                  <c:v>67.864166666666662</c:v>
                </c:pt>
                <c:pt idx="5">
                  <c:v>33.214166666666671</c:v>
                </c:pt>
                <c:pt idx="6">
                  <c:v>16.634166666666665</c:v>
                </c:pt>
                <c:pt idx="7">
                  <c:v>8.2811666666666675</c:v>
                </c:pt>
                <c:pt idx="8">
                  <c:v>4.2751666666666672</c:v>
                </c:pt>
                <c:pt idx="9" formatCode="0.000">
                  <c:v>2.096166666666667</c:v>
                </c:pt>
                <c:pt idx="10">
                  <c:v>0.82616666666666672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0-4911-BE99-13DE3324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52696"/>
        <c:axId val="416972272"/>
      </c:scatterChart>
      <c:valAx>
        <c:axId val="46215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Ra-blank</a:t>
                </a:r>
              </a:p>
            </c:rich>
          </c:tx>
          <c:layout>
            <c:manualLayout>
              <c:xMode val="edge"/>
              <c:yMode val="edge"/>
              <c:x val="0.44040488878284151"/>
              <c:y val="0.90753568475173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972272"/>
        <c:crosses val="autoZero"/>
        <c:crossBetween val="midCat"/>
      </c:valAx>
      <c:valAx>
        <c:axId val="41697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1.6161616161616162E-2"/>
              <c:y val="0.4246582533347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152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808208064900982"/>
          <c:y val="0.64726135260489692"/>
          <c:w val="0.27272790901137356"/>
          <c:h val="0.14726063351670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0</xdr:rowOff>
    </xdr:from>
    <xdr:to>
      <xdr:col>15</xdr:col>
      <xdr:colOff>123825</xdr:colOff>
      <xdr:row>33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34</xdr:row>
      <xdr:rowOff>28575</xdr:rowOff>
    </xdr:from>
    <xdr:to>
      <xdr:col>15</xdr:col>
      <xdr:colOff>190500</xdr:colOff>
      <xdr:row>52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790575</xdr:colOff>
      <xdr:row>14</xdr:row>
      <xdr:rowOff>152400</xdr:rowOff>
    </xdr:from>
    <xdr:to>
      <xdr:col>12</xdr:col>
      <xdr:colOff>1695450</xdr:colOff>
      <xdr:row>34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35</xdr:row>
      <xdr:rowOff>19050</xdr:rowOff>
    </xdr:from>
    <xdr:to>
      <xdr:col>12</xdr:col>
      <xdr:colOff>1781175</xdr:colOff>
      <xdr:row>54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GSN%20OOIchl%20data%202013_Sept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l"/>
      <sheetName val="Cal_040313_12mm"/>
      <sheetName val="Cal_120915_12mm"/>
    </sheetNames>
    <sheetDataSet>
      <sheetData sheetId="0"/>
      <sheetData sheetId="1">
        <row r="2">
          <cell r="A2">
            <v>41367</v>
          </cell>
          <cell r="E2" t="str">
            <v>Cal_040313_12mm</v>
          </cell>
        </row>
        <row r="3">
          <cell r="J3">
            <v>538.68991673320409</v>
          </cell>
          <cell r="M3">
            <v>1092.1541666666667</v>
          </cell>
          <cell r="N3">
            <v>578.6541666666667</v>
          </cell>
          <cell r="O3">
            <v>1.8874039617791283</v>
          </cell>
          <cell r="Q3">
            <v>1.8724603852227975</v>
          </cell>
          <cell r="R3">
            <v>0.49331940793377654</v>
          </cell>
          <cell r="U3">
            <v>1.8724603852227975</v>
          </cell>
          <cell r="V3">
            <v>1.9</v>
          </cell>
        </row>
        <row r="4">
          <cell r="J4">
            <v>269.34495836660204</v>
          </cell>
          <cell r="M4">
            <v>542.55416666666667</v>
          </cell>
          <cell r="N4">
            <v>298.35416666666663</v>
          </cell>
          <cell r="O4">
            <v>1.8184903288876477</v>
          </cell>
          <cell r="U4">
            <v>1.8724603852227975</v>
          </cell>
          <cell r="V4">
            <v>1.9</v>
          </cell>
        </row>
        <row r="5">
          <cell r="J5">
            <v>134.67247918330102</v>
          </cell>
          <cell r="M5">
            <v>278.95416666666665</v>
          </cell>
          <cell r="N5">
            <v>149.25416666666666</v>
          </cell>
          <cell r="O5">
            <v>1.8689874654532257</v>
          </cell>
          <cell r="U5">
            <v>1.8724603852227975</v>
          </cell>
          <cell r="V5">
            <v>1.9</v>
          </cell>
        </row>
        <row r="6">
          <cell r="J6">
            <v>67.336239591650511</v>
          </cell>
          <cell r="M6">
            <v>136.95416666666668</v>
          </cell>
          <cell r="N6">
            <v>73.834166666666675</v>
          </cell>
          <cell r="O6">
            <v>1.8548887710070991</v>
          </cell>
          <cell r="U6">
            <v>1.8724603852227975</v>
          </cell>
          <cell r="V6">
            <v>1.9</v>
          </cell>
        </row>
        <row r="7">
          <cell r="J7">
            <v>33.668119795825255</v>
          </cell>
          <cell r="M7">
            <v>67.864166666666662</v>
          </cell>
          <cell r="N7">
            <v>36.57416666666667</v>
          </cell>
          <cell r="O7">
            <v>1.8555218847547219</v>
          </cell>
          <cell r="U7">
            <v>1.8724603852227975</v>
          </cell>
          <cell r="V7">
            <v>1.9</v>
          </cell>
        </row>
        <row r="8">
          <cell r="J8">
            <v>16.834059897912628</v>
          </cell>
          <cell r="M8">
            <v>33.214166666666671</v>
          </cell>
          <cell r="N8">
            <v>17.994166666666665</v>
          </cell>
          <cell r="O8">
            <v>1.8458296670217205</v>
          </cell>
          <cell r="U8">
            <v>1.8724603852227975</v>
          </cell>
          <cell r="V8">
            <v>1.9</v>
          </cell>
        </row>
        <row r="9">
          <cell r="J9">
            <v>8.4170299489563138</v>
          </cell>
          <cell r="M9">
            <v>16.634166666666665</v>
          </cell>
          <cell r="N9">
            <v>8.6901666666666664</v>
          </cell>
          <cell r="O9">
            <v>1.9141366678813216</v>
          </cell>
          <cell r="U9">
            <v>1.8724603852227975</v>
          </cell>
          <cell r="V9">
            <v>1.9</v>
          </cell>
        </row>
        <row r="10">
          <cell r="J10">
            <v>4.2085149744781569</v>
          </cell>
          <cell r="M10">
            <v>8.2811666666666675</v>
          </cell>
          <cell r="N10">
            <v>4.325166666666667</v>
          </cell>
          <cell r="O10">
            <v>1.9146468344187122</v>
          </cell>
          <cell r="U10">
            <v>1.8724603852227975</v>
          </cell>
          <cell r="V10">
            <v>1.9</v>
          </cell>
        </row>
        <row r="11">
          <cell r="J11">
            <v>2.1042574872390785</v>
          </cell>
          <cell r="M11">
            <v>4.2751666666666672</v>
          </cell>
          <cell r="N11">
            <v>2.1261666666666668</v>
          </cell>
          <cell r="O11">
            <v>2.0107392020067416</v>
          </cell>
          <cell r="U11">
            <v>1.8724603852227975</v>
          </cell>
          <cell r="V11">
            <v>1.9</v>
          </cell>
        </row>
        <row r="12">
          <cell r="J12">
            <v>1.0521287436195392</v>
          </cell>
          <cell r="M12">
            <v>2.096166666666667</v>
          </cell>
          <cell r="N12">
            <v>0.93816666666666682</v>
          </cell>
          <cell r="O12">
            <v>2.2343222597264165</v>
          </cell>
          <cell r="U12">
            <v>1.8724603852227975</v>
          </cell>
          <cell r="V12">
            <v>1.9</v>
          </cell>
        </row>
        <row r="13">
          <cell r="J13">
            <v>0.52606437180976962</v>
          </cell>
          <cell r="M13">
            <v>0.82616666666666672</v>
          </cell>
          <cell r="N13">
            <v>0.44516666666666671</v>
          </cell>
          <cell r="O13">
            <v>1.8558592287532758</v>
          </cell>
          <cell r="U13">
            <v>1.8724603852227975</v>
          </cell>
          <cell r="V13">
            <v>1.9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workbookViewId="0">
      <selection activeCell="H30" sqref="H30"/>
    </sheetView>
  </sheetViews>
  <sheetFormatPr defaultRowHeight="14.4" x14ac:dyDescent="0.3"/>
  <cols>
    <col min="1" max="1" width="8.88671875" style="12"/>
    <col min="2" max="2" width="9.5546875" style="12" bestFit="1" customWidth="1"/>
    <col min="3" max="5" width="8.88671875" style="12"/>
    <col min="6" max="6" width="12" style="12" bestFit="1" customWidth="1"/>
    <col min="7" max="7" width="12.6640625" style="12" bestFit="1" customWidth="1"/>
    <col min="8" max="17" width="8.88671875" style="12"/>
    <col min="18" max="18" width="12.21875" style="12" customWidth="1"/>
    <col min="19" max="31" width="8.88671875" style="12"/>
    <col min="32" max="32" width="11.33203125" style="12" bestFit="1" customWidth="1"/>
    <col min="33" max="33" width="12.6640625" style="12" customWidth="1"/>
    <col min="34" max="34" width="14.6640625" style="12" customWidth="1"/>
    <col min="35" max="16384" width="8.88671875" style="12"/>
  </cols>
  <sheetData>
    <row r="1" spans="1:35" ht="15.6" x14ac:dyDescent="0.3">
      <c r="A1" s="28" t="s">
        <v>88</v>
      </c>
      <c r="B1" s="29"/>
    </row>
    <row r="2" spans="1:35" ht="52.8" x14ac:dyDescent="0.3">
      <c r="A2" s="1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4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2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5"/>
    </row>
    <row r="3" spans="1:35" x14ac:dyDescent="0.3">
      <c r="A3" s="4" t="s">
        <v>34</v>
      </c>
      <c r="B3" s="5">
        <v>41890</v>
      </c>
      <c r="C3" s="6">
        <v>0.97083333333333333</v>
      </c>
      <c r="D3" s="4"/>
      <c r="E3" s="4"/>
      <c r="F3" s="7" t="s">
        <v>35</v>
      </c>
      <c r="G3" s="7" t="s">
        <v>36</v>
      </c>
      <c r="H3" s="4">
        <v>2976</v>
      </c>
      <c r="I3" s="4">
        <v>4</v>
      </c>
      <c r="J3" s="4">
        <v>13</v>
      </c>
      <c r="K3" s="4">
        <v>72</v>
      </c>
      <c r="L3" s="4">
        <v>1</v>
      </c>
      <c r="M3" s="4" t="s">
        <v>37</v>
      </c>
      <c r="N3" s="4" t="s">
        <v>37</v>
      </c>
      <c r="O3" s="8" t="s">
        <v>38</v>
      </c>
      <c r="P3" s="4">
        <v>1057</v>
      </c>
      <c r="Q3" s="4">
        <v>0</v>
      </c>
      <c r="R3" s="4">
        <v>5</v>
      </c>
      <c r="S3" s="9">
        <v>1</v>
      </c>
      <c r="T3" s="9">
        <v>0</v>
      </c>
      <c r="U3" s="3">
        <v>1</v>
      </c>
      <c r="V3" s="9" t="str">
        <f>[1]Cal_040313_12mm!$E$2</f>
        <v>Cal_040313_12mm</v>
      </c>
      <c r="W3" s="9">
        <f>[1]Cal_040313_12mm!$Q$3</f>
        <v>1.8724603852227975</v>
      </c>
      <c r="X3" s="9">
        <f>[1]Cal_040313_12mm!$R$3</f>
        <v>0.49331940793377654</v>
      </c>
      <c r="Y3" s="10">
        <v>92.62</v>
      </c>
      <c r="Z3" s="10">
        <v>62.53</v>
      </c>
      <c r="AA3" s="4">
        <f>AVERAGE(1.112,1.151,0.759,0.806,0.875,0.512,0.969)</f>
        <v>0.88342857142857145</v>
      </c>
      <c r="AB3" s="9">
        <f t="shared" ref="AB3:AB20" si="0">(Y3-AA3)*(S3+T3)/S3</f>
        <v>91.736571428571438</v>
      </c>
      <c r="AC3" s="9">
        <f t="shared" ref="AC3:AC20" si="1">(Z3-AA3)*(S3+T3)/S3</f>
        <v>61.646571428571427</v>
      </c>
      <c r="AD3" s="9">
        <f t="shared" ref="AD3:AD20" si="2">(X3*W3/(W3-1)*(AB3-AC3)*(R3)/P3)/U3</f>
        <v>0.15069967929451897</v>
      </c>
      <c r="AE3" s="9">
        <f t="shared" ref="AE3:AE20" si="3">(X3*W3/(W3-1)*(W3*AC3-AB3)*(R3)/P3)/U3</f>
        <v>0.11866756575598911</v>
      </c>
      <c r="AF3" s="11">
        <f>[1]Cal_040313_12mm!$A$2</f>
        <v>41367</v>
      </c>
    </row>
    <row r="4" spans="1:35" x14ac:dyDescent="0.3">
      <c r="A4" s="4" t="s">
        <v>34</v>
      </c>
      <c r="B4" s="5">
        <v>41890</v>
      </c>
      <c r="C4" s="6">
        <v>0.97083333333333333</v>
      </c>
      <c r="D4" s="4"/>
      <c r="E4" s="4"/>
      <c r="F4" s="7" t="s">
        <v>35</v>
      </c>
      <c r="G4" s="7" t="s">
        <v>36</v>
      </c>
      <c r="H4" s="4">
        <v>2976</v>
      </c>
      <c r="I4" s="4">
        <v>4</v>
      </c>
      <c r="J4" s="4">
        <v>17</v>
      </c>
      <c r="K4" s="4">
        <v>51</v>
      </c>
      <c r="L4" s="4">
        <v>2</v>
      </c>
      <c r="M4" s="4" t="s">
        <v>37</v>
      </c>
      <c r="N4" s="4" t="s">
        <v>37</v>
      </c>
      <c r="O4" s="8" t="s">
        <v>39</v>
      </c>
      <c r="P4" s="4">
        <v>1056</v>
      </c>
      <c r="Q4" s="4">
        <v>0</v>
      </c>
      <c r="R4" s="4">
        <v>5</v>
      </c>
      <c r="S4" s="9">
        <v>1</v>
      </c>
      <c r="T4" s="9">
        <v>0</v>
      </c>
      <c r="U4" s="3">
        <v>1</v>
      </c>
      <c r="V4" s="9" t="str">
        <f>[1]Cal_040313_12mm!$E$2</f>
        <v>Cal_040313_12mm</v>
      </c>
      <c r="W4" s="9">
        <f>[1]Cal_040313_12mm!$Q$3</f>
        <v>1.8724603852227975</v>
      </c>
      <c r="X4" s="9">
        <f>[1]Cal_040313_12mm!$R$3</f>
        <v>0.49331940793377654</v>
      </c>
      <c r="Y4" s="10">
        <v>158</v>
      </c>
      <c r="Z4" s="10">
        <v>103</v>
      </c>
      <c r="AA4" s="4">
        <f t="shared" ref="AA4:AA20" si="4">AVERAGE(1.112,1.151,0.759,0.806,0.875,0.512,0.969)</f>
        <v>0.88342857142857145</v>
      </c>
      <c r="AB4" s="9">
        <f t="shared" si="0"/>
        <v>157.11657142857143</v>
      </c>
      <c r="AC4" s="9">
        <f t="shared" si="1"/>
        <v>102.11657142857143</v>
      </c>
      <c r="AD4" s="9">
        <f t="shared" si="2"/>
        <v>0.27571722508569163</v>
      </c>
      <c r="AE4" s="9">
        <f t="shared" si="3"/>
        <v>0.17090790010952664</v>
      </c>
      <c r="AF4" s="11">
        <f>[1]Cal_040313_12mm!$A$2</f>
        <v>41367</v>
      </c>
    </row>
    <row r="5" spans="1:35" x14ac:dyDescent="0.3">
      <c r="A5" s="4" t="s">
        <v>34</v>
      </c>
      <c r="B5" s="5">
        <v>41890</v>
      </c>
      <c r="C5" s="6">
        <v>0.97083333333333333</v>
      </c>
      <c r="D5" s="4"/>
      <c r="E5" s="4"/>
      <c r="F5" s="7" t="s">
        <v>35</v>
      </c>
      <c r="G5" s="7" t="s">
        <v>36</v>
      </c>
      <c r="H5" s="4">
        <v>2976</v>
      </c>
      <c r="I5" s="4">
        <v>4</v>
      </c>
      <c r="J5" s="4">
        <v>18</v>
      </c>
      <c r="K5" s="4">
        <v>32</v>
      </c>
      <c r="L5" s="4">
        <v>3</v>
      </c>
      <c r="M5" s="4" t="s">
        <v>37</v>
      </c>
      <c r="N5" s="4" t="s">
        <v>37</v>
      </c>
      <c r="O5" s="8" t="s">
        <v>40</v>
      </c>
      <c r="P5" s="4">
        <v>1056</v>
      </c>
      <c r="Q5" s="4">
        <v>0</v>
      </c>
      <c r="R5" s="4">
        <v>5</v>
      </c>
      <c r="S5" s="9">
        <v>1</v>
      </c>
      <c r="T5" s="9">
        <v>0</v>
      </c>
      <c r="U5" s="3">
        <v>1</v>
      </c>
      <c r="V5" s="9" t="str">
        <f>[1]Cal_040313_12mm!$E$2</f>
        <v>Cal_040313_12mm</v>
      </c>
      <c r="W5" s="9">
        <f>[1]Cal_040313_12mm!$Q$3</f>
        <v>1.8724603852227975</v>
      </c>
      <c r="X5" s="9">
        <f>[1]Cal_040313_12mm!$R$3</f>
        <v>0.49331940793377654</v>
      </c>
      <c r="Y5" s="10">
        <v>369.3</v>
      </c>
      <c r="Z5" s="10">
        <v>229.2</v>
      </c>
      <c r="AA5" s="4">
        <f t="shared" si="4"/>
        <v>0.88342857142857145</v>
      </c>
      <c r="AB5" s="9">
        <f t="shared" si="0"/>
        <v>368.41657142857144</v>
      </c>
      <c r="AC5" s="9">
        <f t="shared" si="1"/>
        <v>228.31657142857142</v>
      </c>
      <c r="AD5" s="9">
        <f t="shared" si="2"/>
        <v>0.7023269679000983</v>
      </c>
      <c r="AE5" s="9">
        <f t="shared" si="3"/>
        <v>0.29625647327777282</v>
      </c>
      <c r="AF5" s="11">
        <f>[1]Cal_040313_12mm!$A$2</f>
        <v>41367</v>
      </c>
    </row>
    <row r="6" spans="1:35" x14ac:dyDescent="0.3">
      <c r="A6" s="4" t="s">
        <v>34</v>
      </c>
      <c r="B6" s="5">
        <v>41890</v>
      </c>
      <c r="C6" s="6">
        <v>0.97083333333333333</v>
      </c>
      <c r="D6" s="4"/>
      <c r="E6" s="4"/>
      <c r="F6" s="7" t="s">
        <v>35</v>
      </c>
      <c r="G6" s="7" t="s">
        <v>36</v>
      </c>
      <c r="H6" s="4">
        <v>2976</v>
      </c>
      <c r="I6" s="4">
        <v>4</v>
      </c>
      <c r="J6" s="4">
        <v>20</v>
      </c>
      <c r="K6" s="4">
        <v>17</v>
      </c>
      <c r="L6" s="4">
        <v>4</v>
      </c>
      <c r="M6" s="4" t="s">
        <v>37</v>
      </c>
      <c r="N6" s="4" t="s">
        <v>37</v>
      </c>
      <c r="O6" s="8" t="s">
        <v>41</v>
      </c>
      <c r="P6" s="4">
        <v>1056</v>
      </c>
      <c r="Q6" s="4">
        <v>0</v>
      </c>
      <c r="R6" s="4">
        <v>5</v>
      </c>
      <c r="S6" s="9">
        <v>1</v>
      </c>
      <c r="T6" s="9">
        <v>0</v>
      </c>
      <c r="U6" s="3">
        <v>1</v>
      </c>
      <c r="V6" s="9" t="str">
        <f>[1]Cal_040313_12mm!$E$2</f>
        <v>Cal_040313_12mm</v>
      </c>
      <c r="W6" s="9">
        <f>[1]Cal_040313_12mm!$Q$3</f>
        <v>1.8724603852227975</v>
      </c>
      <c r="X6" s="9">
        <f>[1]Cal_040313_12mm!$R$3</f>
        <v>0.49331940793377654</v>
      </c>
      <c r="Y6" s="10">
        <v>369.5</v>
      </c>
      <c r="Z6" s="10">
        <v>229.3</v>
      </c>
      <c r="AA6" s="4">
        <f t="shared" si="4"/>
        <v>0.88342857142857145</v>
      </c>
      <c r="AB6" s="9">
        <f t="shared" si="0"/>
        <v>368.61657142857143</v>
      </c>
      <c r="AC6" s="9">
        <f>(Z6-AA6)*(S6+T6)/S6</f>
        <v>228.41657142857144</v>
      </c>
      <c r="AD6" s="9">
        <f t="shared" si="2"/>
        <v>0.70282827194570852</v>
      </c>
      <c r="AE6" s="9">
        <f t="shared" si="3"/>
        <v>0.2961925371529095</v>
      </c>
      <c r="AF6" s="11">
        <f>[1]Cal_040313_12mm!$A$2</f>
        <v>41367</v>
      </c>
    </row>
    <row r="7" spans="1:35" x14ac:dyDescent="0.3">
      <c r="A7" s="4" t="s">
        <v>34</v>
      </c>
      <c r="B7" s="5">
        <v>41893</v>
      </c>
      <c r="C7" s="6">
        <v>0.94930555555555562</v>
      </c>
      <c r="D7" s="4"/>
      <c r="E7" s="4"/>
      <c r="F7" s="7" t="s">
        <v>42</v>
      </c>
      <c r="G7" s="7" t="s">
        <v>43</v>
      </c>
      <c r="H7" s="4">
        <v>2247</v>
      </c>
      <c r="I7" s="4">
        <v>5</v>
      </c>
      <c r="J7" s="4">
        <v>13</v>
      </c>
      <c r="K7" s="4">
        <v>23</v>
      </c>
      <c r="L7" s="4">
        <v>1</v>
      </c>
      <c r="M7" s="4" t="s">
        <v>37</v>
      </c>
      <c r="N7" s="4" t="s">
        <v>37</v>
      </c>
      <c r="O7" s="8" t="s">
        <v>44</v>
      </c>
      <c r="P7" s="4">
        <v>1057</v>
      </c>
      <c r="Q7" s="4">
        <v>0</v>
      </c>
      <c r="R7" s="4">
        <v>5</v>
      </c>
      <c r="S7" s="9">
        <v>1</v>
      </c>
      <c r="T7" s="9">
        <v>0</v>
      </c>
      <c r="U7" s="3">
        <v>1</v>
      </c>
      <c r="V7" s="9" t="str">
        <f>[1]Cal_040313_12mm!$E$2</f>
        <v>Cal_040313_12mm</v>
      </c>
      <c r="W7" s="9">
        <f>[1]Cal_040313_12mm!$Q$3</f>
        <v>1.8724603852227975</v>
      </c>
      <c r="X7" s="9">
        <f>[1]Cal_040313_12mm!$R$3</f>
        <v>0.49331940793377654</v>
      </c>
      <c r="Y7" s="10">
        <v>440.7</v>
      </c>
      <c r="Z7" s="10">
        <v>265.5</v>
      </c>
      <c r="AA7" s="4">
        <f t="shared" si="4"/>
        <v>0.88342857142857145</v>
      </c>
      <c r="AB7" s="9">
        <f t="shared" si="0"/>
        <v>439.81657142857142</v>
      </c>
      <c r="AC7" s="9">
        <f t="shared" si="1"/>
        <v>264.61657142857143</v>
      </c>
      <c r="AD7" s="9">
        <f t="shared" si="2"/>
        <v>0.87745376578264234</v>
      </c>
      <c r="AE7" s="9">
        <f t="shared" si="3"/>
        <v>0.27879929401671372</v>
      </c>
      <c r="AF7" s="11">
        <f>[1]Cal_040313_12mm!$A$2</f>
        <v>41367</v>
      </c>
    </row>
    <row r="8" spans="1:35" x14ac:dyDescent="0.3">
      <c r="A8" s="4" t="s">
        <v>34</v>
      </c>
      <c r="B8" s="5">
        <v>41893</v>
      </c>
      <c r="C8" s="6">
        <v>0.94930555555555562</v>
      </c>
      <c r="D8" s="4"/>
      <c r="E8" s="4"/>
      <c r="F8" s="7" t="s">
        <v>42</v>
      </c>
      <c r="G8" s="7" t="s">
        <v>43</v>
      </c>
      <c r="H8" s="4">
        <v>2247</v>
      </c>
      <c r="I8" s="4">
        <v>5</v>
      </c>
      <c r="J8" s="4">
        <v>18</v>
      </c>
      <c r="K8" s="4">
        <v>15</v>
      </c>
      <c r="L8" s="4">
        <v>2</v>
      </c>
      <c r="M8" s="4" t="s">
        <v>37</v>
      </c>
      <c r="N8" s="4" t="s">
        <v>37</v>
      </c>
      <c r="O8" s="8" t="s">
        <v>45</v>
      </c>
      <c r="P8" s="4">
        <v>1056</v>
      </c>
      <c r="Q8" s="4">
        <v>0</v>
      </c>
      <c r="R8" s="4">
        <v>5</v>
      </c>
      <c r="S8" s="9">
        <v>1</v>
      </c>
      <c r="T8" s="9">
        <v>0</v>
      </c>
      <c r="U8" s="3">
        <v>1</v>
      </c>
      <c r="V8" s="9" t="str">
        <f>[1]Cal_040313_12mm!$E$2</f>
        <v>Cal_040313_12mm</v>
      </c>
      <c r="W8" s="9">
        <f>[1]Cal_040313_12mm!$Q$3</f>
        <v>1.8724603852227975</v>
      </c>
      <c r="X8" s="9">
        <f>[1]Cal_040313_12mm!$R$3</f>
        <v>0.49331940793377654</v>
      </c>
      <c r="Y8" s="10">
        <v>428.2</v>
      </c>
      <c r="Z8" s="10">
        <v>259.7</v>
      </c>
      <c r="AA8" s="4">
        <f t="shared" si="4"/>
        <v>0.88342857142857145</v>
      </c>
      <c r="AB8" s="9">
        <f t="shared" si="0"/>
        <v>427.31657142857142</v>
      </c>
      <c r="AC8" s="9">
        <f t="shared" si="1"/>
        <v>258.81657142857142</v>
      </c>
      <c r="AD8" s="9">
        <f t="shared" si="2"/>
        <v>0.84469731685343719</v>
      </c>
      <c r="AE8" s="9">
        <f t="shared" si="3"/>
        <v>0.28728334015225404</v>
      </c>
      <c r="AF8" s="11">
        <f>[1]Cal_040313_12mm!$A$2</f>
        <v>41367</v>
      </c>
    </row>
    <row r="9" spans="1:35" x14ac:dyDescent="0.3">
      <c r="A9" s="4" t="s">
        <v>34</v>
      </c>
      <c r="B9" s="5">
        <v>41893</v>
      </c>
      <c r="C9" s="6">
        <v>0.94930555555555562</v>
      </c>
      <c r="D9" s="4"/>
      <c r="E9" s="4"/>
      <c r="F9" s="7" t="s">
        <v>42</v>
      </c>
      <c r="G9" s="7" t="s">
        <v>43</v>
      </c>
      <c r="H9" s="4">
        <v>2247</v>
      </c>
      <c r="I9" s="4">
        <v>5</v>
      </c>
      <c r="J9" s="4">
        <v>20</v>
      </c>
      <c r="K9" s="4">
        <v>3</v>
      </c>
      <c r="L9" s="4">
        <v>3</v>
      </c>
      <c r="M9" s="4" t="s">
        <v>37</v>
      </c>
      <c r="N9" s="4" t="s">
        <v>37</v>
      </c>
      <c r="O9" s="8" t="s">
        <v>46</v>
      </c>
      <c r="P9" s="4">
        <v>1056</v>
      </c>
      <c r="Q9" s="4">
        <v>0</v>
      </c>
      <c r="R9" s="4">
        <v>5</v>
      </c>
      <c r="S9" s="9">
        <v>1</v>
      </c>
      <c r="T9" s="9">
        <v>0</v>
      </c>
      <c r="U9" s="3">
        <v>1</v>
      </c>
      <c r="V9" s="9" t="str">
        <f>[1]Cal_040313_12mm!$E$2</f>
        <v>Cal_040313_12mm</v>
      </c>
      <c r="W9" s="9">
        <f>[1]Cal_040313_12mm!$Q$3</f>
        <v>1.8724603852227975</v>
      </c>
      <c r="X9" s="9">
        <f>[1]Cal_040313_12mm!$R$3</f>
        <v>0.49331940793377654</v>
      </c>
      <c r="Y9" s="10">
        <v>421.8</v>
      </c>
      <c r="Z9" s="10">
        <v>262.39999999999998</v>
      </c>
      <c r="AA9" s="4">
        <f t="shared" si="4"/>
        <v>0.88342857142857145</v>
      </c>
      <c r="AB9" s="9">
        <f t="shared" si="0"/>
        <v>420.91657142857144</v>
      </c>
      <c r="AC9" s="9">
        <f t="shared" si="1"/>
        <v>261.51657142857141</v>
      </c>
      <c r="AD9" s="9">
        <f t="shared" si="2"/>
        <v>0.79907864870289569</v>
      </c>
      <c r="AE9" s="9">
        <f t="shared" si="3"/>
        <v>0.34471094216296316</v>
      </c>
      <c r="AF9" s="11">
        <f>[1]Cal_040313_12mm!$A$2</f>
        <v>41367</v>
      </c>
    </row>
    <row r="10" spans="1:35" x14ac:dyDescent="0.3">
      <c r="A10" s="4" t="s">
        <v>34</v>
      </c>
      <c r="B10" s="5">
        <v>41894</v>
      </c>
      <c r="C10" s="6">
        <v>0.21458333333333335</v>
      </c>
      <c r="D10" s="4"/>
      <c r="E10" s="6">
        <v>0.26597222222222222</v>
      </c>
      <c r="F10" s="7" t="s">
        <v>47</v>
      </c>
      <c r="G10" s="7" t="s">
        <v>48</v>
      </c>
      <c r="H10" s="4">
        <v>2706</v>
      </c>
      <c r="I10" s="4">
        <v>6</v>
      </c>
      <c r="J10" s="4">
        <v>2</v>
      </c>
      <c r="K10" s="4">
        <v>2516</v>
      </c>
      <c r="L10" s="4">
        <v>1</v>
      </c>
      <c r="M10" s="4" t="s">
        <v>37</v>
      </c>
      <c r="N10" s="4" t="s">
        <v>37</v>
      </c>
      <c r="O10" s="8" t="s">
        <v>49</v>
      </c>
      <c r="P10" s="4">
        <v>1057</v>
      </c>
      <c r="Q10" s="4">
        <v>0</v>
      </c>
      <c r="R10" s="4">
        <v>5</v>
      </c>
      <c r="S10" s="9">
        <v>1</v>
      </c>
      <c r="T10" s="9">
        <v>0</v>
      </c>
      <c r="U10" s="3">
        <v>1</v>
      </c>
      <c r="V10" s="9" t="str">
        <f>[1]Cal_040313_12mm!$E$2</f>
        <v>Cal_040313_12mm</v>
      </c>
      <c r="W10" s="9">
        <f>[1]Cal_040313_12mm!$Q$3</f>
        <v>1.8724603852227975</v>
      </c>
      <c r="X10" s="9">
        <f>[1]Cal_040313_12mm!$R$3</f>
        <v>0.49331940793377654</v>
      </c>
      <c r="Y10" s="10">
        <v>7.0990000000000002</v>
      </c>
      <c r="Z10" s="10">
        <v>5.7610000000000001</v>
      </c>
      <c r="AA10" s="4">
        <f t="shared" si="4"/>
        <v>0.88342857142857145</v>
      </c>
      <c r="AB10" s="9">
        <f t="shared" si="0"/>
        <v>6.2155714285714287</v>
      </c>
      <c r="AC10" s="9">
        <f t="shared" si="1"/>
        <v>4.8775714285714287</v>
      </c>
      <c r="AD10" s="9">
        <f t="shared" si="2"/>
        <v>6.7011023893674398E-3</v>
      </c>
      <c r="AE10" s="9">
        <f t="shared" si="3"/>
        <v>1.4611647822113433E-2</v>
      </c>
      <c r="AF10" s="11">
        <f>[1]Cal_040313_12mm!$A$2</f>
        <v>41367</v>
      </c>
    </row>
    <row r="11" spans="1:35" x14ac:dyDescent="0.3">
      <c r="A11" s="4" t="s">
        <v>34</v>
      </c>
      <c r="B11" s="5">
        <v>41894</v>
      </c>
      <c r="C11" s="6">
        <v>0.21458333333333335</v>
      </c>
      <c r="D11" s="4"/>
      <c r="E11" s="6">
        <v>0.27499999999999997</v>
      </c>
      <c r="F11" s="7" t="s">
        <v>47</v>
      </c>
      <c r="G11" s="7" t="s">
        <v>48</v>
      </c>
      <c r="H11" s="4">
        <v>2706</v>
      </c>
      <c r="I11" s="4">
        <v>6</v>
      </c>
      <c r="J11" s="4">
        <v>8</v>
      </c>
      <c r="K11" s="4">
        <v>2012</v>
      </c>
      <c r="L11" s="4">
        <v>2</v>
      </c>
      <c r="M11" s="4" t="s">
        <v>37</v>
      </c>
      <c r="N11" s="4" t="s">
        <v>37</v>
      </c>
      <c r="O11" s="8" t="s">
        <v>50</v>
      </c>
      <c r="P11" s="4">
        <v>1056</v>
      </c>
      <c r="Q11" s="4">
        <v>0</v>
      </c>
      <c r="R11" s="4">
        <v>5</v>
      </c>
      <c r="S11" s="9">
        <v>1</v>
      </c>
      <c r="T11" s="9">
        <v>0</v>
      </c>
      <c r="U11" s="3">
        <v>1</v>
      </c>
      <c r="V11" s="9" t="str">
        <f>[1]Cal_040313_12mm!$E$2</f>
        <v>Cal_040313_12mm</v>
      </c>
      <c r="W11" s="9">
        <f>[1]Cal_040313_12mm!$Q$3</f>
        <v>1.8724603852227975</v>
      </c>
      <c r="X11" s="9">
        <f>[1]Cal_040313_12mm!$R$3</f>
        <v>0.49331940793377654</v>
      </c>
      <c r="Y11" s="10">
        <v>2.306</v>
      </c>
      <c r="Z11" s="10">
        <v>2.0550000000000002</v>
      </c>
      <c r="AA11" s="4">
        <f t="shared" si="4"/>
        <v>0.88342857142857145</v>
      </c>
      <c r="AB11" s="9">
        <f t="shared" si="0"/>
        <v>1.4225714285714286</v>
      </c>
      <c r="AC11" s="9">
        <f t="shared" si="1"/>
        <v>1.1715714285714287</v>
      </c>
      <c r="AD11" s="9">
        <f t="shared" si="2"/>
        <v>1.2582731544819742E-3</v>
      </c>
      <c r="AE11" s="9">
        <f t="shared" si="3"/>
        <v>3.8658044427262398E-3</v>
      </c>
      <c r="AF11" s="11">
        <f>[1]Cal_040313_12mm!$A$2</f>
        <v>41367</v>
      </c>
    </row>
    <row r="12" spans="1:35" x14ac:dyDescent="0.3">
      <c r="A12" s="4" t="s">
        <v>34</v>
      </c>
      <c r="B12" s="5">
        <v>41894</v>
      </c>
      <c r="C12" s="6">
        <v>0.21458333333333335</v>
      </c>
      <c r="D12" s="4"/>
      <c r="E12" s="6">
        <v>0.28333333333333333</v>
      </c>
      <c r="F12" s="7" t="s">
        <v>47</v>
      </c>
      <c r="G12" s="7" t="s">
        <v>48</v>
      </c>
      <c r="H12" s="4">
        <v>2706</v>
      </c>
      <c r="I12" s="4">
        <v>6</v>
      </c>
      <c r="J12" s="4">
        <v>13</v>
      </c>
      <c r="K12" s="4">
        <v>1509</v>
      </c>
      <c r="L12" s="4">
        <v>3</v>
      </c>
      <c r="M12" s="4" t="s">
        <v>37</v>
      </c>
      <c r="N12" s="4" t="s">
        <v>37</v>
      </c>
      <c r="O12" s="8" t="s">
        <v>51</v>
      </c>
      <c r="P12" s="4">
        <v>1056</v>
      </c>
      <c r="Q12" s="4">
        <v>0</v>
      </c>
      <c r="R12" s="4">
        <v>5</v>
      </c>
      <c r="S12" s="9">
        <v>1</v>
      </c>
      <c r="T12" s="9">
        <v>0</v>
      </c>
      <c r="U12" s="3">
        <v>1</v>
      </c>
      <c r="V12" s="9" t="str">
        <f>[1]Cal_040313_12mm!$E$2</f>
        <v>Cal_040313_12mm</v>
      </c>
      <c r="W12" s="9">
        <f>[1]Cal_040313_12mm!$Q$3</f>
        <v>1.8724603852227975</v>
      </c>
      <c r="X12" s="9">
        <f>[1]Cal_040313_12mm!$R$3</f>
        <v>0.49331940793377654</v>
      </c>
      <c r="Y12" s="10">
        <v>3.27</v>
      </c>
      <c r="Z12" s="10">
        <v>2.9929999999999999</v>
      </c>
      <c r="AA12" s="4">
        <f t="shared" si="4"/>
        <v>0.88342857142857145</v>
      </c>
      <c r="AB12" s="9">
        <f t="shared" si="0"/>
        <v>2.3865714285714286</v>
      </c>
      <c r="AC12" s="9">
        <f t="shared" si="1"/>
        <v>2.1095714285714284</v>
      </c>
      <c r="AD12" s="9">
        <f t="shared" si="2"/>
        <v>1.3886122063406661E-3</v>
      </c>
      <c r="AE12" s="9">
        <f t="shared" si="3"/>
        <v>7.8379764874739501E-3</v>
      </c>
      <c r="AF12" s="11">
        <f>[1]Cal_040313_12mm!$A$2</f>
        <v>41367</v>
      </c>
    </row>
    <row r="13" spans="1:35" x14ac:dyDescent="0.3">
      <c r="A13" s="4" t="s">
        <v>34</v>
      </c>
      <c r="B13" s="5">
        <v>41894</v>
      </c>
      <c r="C13" s="6">
        <v>0.21458333333333335</v>
      </c>
      <c r="D13" s="4"/>
      <c r="E13" s="6">
        <v>0.30416666666666664</v>
      </c>
      <c r="F13" s="7" t="s">
        <v>47</v>
      </c>
      <c r="G13" s="7" t="s">
        <v>48</v>
      </c>
      <c r="H13" s="4">
        <v>2706</v>
      </c>
      <c r="I13" s="4">
        <v>6</v>
      </c>
      <c r="J13" s="4">
        <v>20</v>
      </c>
      <c r="K13" s="4">
        <v>24</v>
      </c>
      <c r="L13" s="4">
        <v>4</v>
      </c>
      <c r="M13" s="4" t="s">
        <v>37</v>
      </c>
      <c r="N13" s="4" t="s">
        <v>37</v>
      </c>
      <c r="O13" s="8" t="s">
        <v>52</v>
      </c>
      <c r="P13" s="4">
        <v>1056</v>
      </c>
      <c r="Q13" s="4">
        <v>0</v>
      </c>
      <c r="R13" s="4">
        <v>5</v>
      </c>
      <c r="S13" s="9">
        <v>1</v>
      </c>
      <c r="T13" s="9">
        <v>0</v>
      </c>
      <c r="U13" s="3">
        <v>1</v>
      </c>
      <c r="V13" s="9" t="str">
        <f>[1]Cal_040313_12mm!$E$2</f>
        <v>Cal_040313_12mm</v>
      </c>
      <c r="W13" s="9">
        <f>[1]Cal_040313_12mm!$Q$3</f>
        <v>1.8724603852227975</v>
      </c>
      <c r="X13" s="9">
        <f>[1]Cal_040313_12mm!$R$3</f>
        <v>0.49331940793377654</v>
      </c>
      <c r="Y13" s="10">
        <v>477.4</v>
      </c>
      <c r="Z13" s="10">
        <v>284.8</v>
      </c>
      <c r="AA13" s="4">
        <f t="shared" si="4"/>
        <v>0.88342857142857145</v>
      </c>
      <c r="AB13" s="9">
        <f t="shared" si="0"/>
        <v>476.51657142857141</v>
      </c>
      <c r="AC13" s="9">
        <f t="shared" si="1"/>
        <v>283.91657142857144</v>
      </c>
      <c r="AD13" s="9">
        <f t="shared" si="2"/>
        <v>0.96551159184553104</v>
      </c>
      <c r="AE13" s="9">
        <f t="shared" si="3"/>
        <v>0.2762484132676451</v>
      </c>
      <c r="AF13" s="11">
        <f>[1]Cal_040313_12mm!$A$2</f>
        <v>41367</v>
      </c>
    </row>
    <row r="14" spans="1:35" x14ac:dyDescent="0.3">
      <c r="A14" s="4" t="s">
        <v>34</v>
      </c>
      <c r="B14" s="5">
        <v>41897</v>
      </c>
      <c r="C14" s="6">
        <v>0.65902777777777777</v>
      </c>
      <c r="D14" s="4"/>
      <c r="E14" s="4"/>
      <c r="F14" s="7" t="s">
        <v>53</v>
      </c>
      <c r="G14" s="7" t="s">
        <v>54</v>
      </c>
      <c r="H14" s="4">
        <v>2737</v>
      </c>
      <c r="I14" s="4">
        <v>7</v>
      </c>
      <c r="J14" s="4">
        <v>13</v>
      </c>
      <c r="K14" s="4">
        <v>23</v>
      </c>
      <c r="L14" s="4">
        <v>1</v>
      </c>
      <c r="M14" s="4" t="s">
        <v>37</v>
      </c>
      <c r="N14" s="4" t="s">
        <v>37</v>
      </c>
      <c r="O14" s="8" t="s">
        <v>55</v>
      </c>
      <c r="P14" s="4">
        <v>1057</v>
      </c>
      <c r="Q14" s="4">
        <v>0</v>
      </c>
      <c r="R14" s="4">
        <v>5</v>
      </c>
      <c r="S14" s="9">
        <v>1</v>
      </c>
      <c r="T14" s="9">
        <v>0</v>
      </c>
      <c r="U14" s="3">
        <v>1</v>
      </c>
      <c r="V14" s="9" t="str">
        <f>[1]Cal_040313_12mm!$E$2</f>
        <v>Cal_040313_12mm</v>
      </c>
      <c r="W14" s="9">
        <f>[1]Cal_040313_12mm!$Q$3</f>
        <v>1.8724603852227975</v>
      </c>
      <c r="X14" s="9">
        <f>[1]Cal_040313_12mm!$R$3</f>
        <v>0.49331940793377654</v>
      </c>
      <c r="Y14" s="10">
        <v>338.5</v>
      </c>
      <c r="Z14" s="10">
        <v>204.1</v>
      </c>
      <c r="AA14" s="4">
        <f t="shared" si="4"/>
        <v>0.88342857142857145</v>
      </c>
      <c r="AB14" s="9">
        <f t="shared" si="0"/>
        <v>337.61657142857143</v>
      </c>
      <c r="AC14" s="9">
        <f t="shared" si="1"/>
        <v>203.21657142857143</v>
      </c>
      <c r="AD14" s="9">
        <f t="shared" si="2"/>
        <v>0.67311521758668458</v>
      </c>
      <c r="AE14" s="9">
        <f t="shared" si="3"/>
        <v>0.2148480012234649</v>
      </c>
      <c r="AF14" s="11">
        <f>[1]Cal_040313_12mm!$A$2</f>
        <v>41367</v>
      </c>
    </row>
    <row r="15" spans="1:35" x14ac:dyDescent="0.3">
      <c r="A15" s="4" t="s">
        <v>34</v>
      </c>
      <c r="B15" s="5">
        <v>41897</v>
      </c>
      <c r="C15" s="6">
        <v>0.65902777777777777</v>
      </c>
      <c r="D15" s="4"/>
      <c r="E15" s="4"/>
      <c r="F15" s="7" t="s">
        <v>53</v>
      </c>
      <c r="G15" s="7" t="s">
        <v>54</v>
      </c>
      <c r="H15" s="4">
        <v>2737</v>
      </c>
      <c r="I15" s="4">
        <v>7</v>
      </c>
      <c r="J15" s="4">
        <v>18</v>
      </c>
      <c r="K15" s="4">
        <v>15</v>
      </c>
      <c r="L15" s="4">
        <v>2</v>
      </c>
      <c r="M15" s="4" t="s">
        <v>37</v>
      </c>
      <c r="N15" s="4" t="s">
        <v>37</v>
      </c>
      <c r="O15" s="8" t="s">
        <v>56</v>
      </c>
      <c r="P15" s="4">
        <v>1056</v>
      </c>
      <c r="Q15" s="4">
        <v>0</v>
      </c>
      <c r="R15" s="4">
        <v>5</v>
      </c>
      <c r="S15" s="9">
        <v>1</v>
      </c>
      <c r="T15" s="9">
        <v>0</v>
      </c>
      <c r="U15" s="3">
        <v>1</v>
      </c>
      <c r="V15" s="9" t="str">
        <f>[1]Cal_040313_12mm!$E$2</f>
        <v>Cal_040313_12mm</v>
      </c>
      <c r="W15" s="9">
        <f>[1]Cal_040313_12mm!$Q$3</f>
        <v>1.8724603852227975</v>
      </c>
      <c r="X15" s="9">
        <f>[1]Cal_040313_12mm!$R$3</f>
        <v>0.49331940793377654</v>
      </c>
      <c r="Y15" s="10">
        <v>327.3</v>
      </c>
      <c r="Z15" s="10">
        <v>202.4</v>
      </c>
      <c r="AA15" s="4">
        <f t="shared" si="4"/>
        <v>0.88342857142857145</v>
      </c>
      <c r="AB15" s="9">
        <f t="shared" si="0"/>
        <v>326.41657142857144</v>
      </c>
      <c r="AC15" s="9">
        <f t="shared" si="1"/>
        <v>201.51657142857144</v>
      </c>
      <c r="AD15" s="9">
        <f t="shared" si="2"/>
        <v>0.62612875296732529</v>
      </c>
      <c r="AE15" s="9">
        <f t="shared" si="3"/>
        <v>0.25524008545036292</v>
      </c>
      <c r="AF15" s="11">
        <f>[1]Cal_040313_12mm!$A$2</f>
        <v>41367</v>
      </c>
    </row>
    <row r="16" spans="1:35" x14ac:dyDescent="0.3">
      <c r="A16" s="4" t="s">
        <v>34</v>
      </c>
      <c r="B16" s="5">
        <v>41897</v>
      </c>
      <c r="C16" s="6">
        <v>0.65902777777777777</v>
      </c>
      <c r="D16" s="4"/>
      <c r="E16" s="4"/>
      <c r="F16" s="7" t="s">
        <v>53</v>
      </c>
      <c r="G16" s="7" t="s">
        <v>54</v>
      </c>
      <c r="H16" s="4">
        <v>2737</v>
      </c>
      <c r="I16" s="4">
        <v>7</v>
      </c>
      <c r="J16" s="4">
        <v>20</v>
      </c>
      <c r="K16" s="4">
        <v>3.1</v>
      </c>
      <c r="L16" s="4">
        <v>3</v>
      </c>
      <c r="M16" s="4" t="s">
        <v>37</v>
      </c>
      <c r="N16" s="4" t="s">
        <v>37</v>
      </c>
      <c r="O16" s="8" t="s">
        <v>57</v>
      </c>
      <c r="P16" s="4">
        <v>1056</v>
      </c>
      <c r="Q16" s="4">
        <v>0</v>
      </c>
      <c r="R16" s="4">
        <v>5</v>
      </c>
      <c r="S16" s="9">
        <v>1</v>
      </c>
      <c r="T16" s="9">
        <v>0</v>
      </c>
      <c r="U16" s="3">
        <v>1</v>
      </c>
      <c r="V16" s="9" t="str">
        <f>[1]Cal_040313_12mm!$E$2</f>
        <v>Cal_040313_12mm</v>
      </c>
      <c r="W16" s="9">
        <f>[1]Cal_040313_12mm!$Q$3</f>
        <v>1.8724603852227975</v>
      </c>
      <c r="X16" s="9">
        <f>[1]Cal_040313_12mm!$R$3</f>
        <v>0.49331940793377654</v>
      </c>
      <c r="Y16" s="10">
        <v>321.39999999999998</v>
      </c>
      <c r="Z16" s="10">
        <v>197.9</v>
      </c>
      <c r="AA16" s="4">
        <f t="shared" si="4"/>
        <v>0.88342857142857145</v>
      </c>
      <c r="AB16" s="9">
        <f t="shared" si="0"/>
        <v>320.51657142857141</v>
      </c>
      <c r="AC16" s="9">
        <f t="shared" si="1"/>
        <v>197.01657142857144</v>
      </c>
      <c r="AD16" s="9">
        <f t="shared" si="2"/>
        <v>0.61911049632878024</v>
      </c>
      <c r="AE16" s="9">
        <f t="shared" si="3"/>
        <v>0.24257678565529528</v>
      </c>
      <c r="AF16" s="11">
        <f>[1]Cal_040313_12mm!$A$2</f>
        <v>41367</v>
      </c>
    </row>
    <row r="17" spans="1:32" x14ac:dyDescent="0.3">
      <c r="A17" s="4" t="s">
        <v>34</v>
      </c>
      <c r="B17" s="5">
        <v>41899</v>
      </c>
      <c r="C17" s="6">
        <v>0.57430555555555551</v>
      </c>
      <c r="D17" s="4"/>
      <c r="E17" s="4"/>
      <c r="F17" s="7" t="s">
        <v>58</v>
      </c>
      <c r="G17" s="7" t="s">
        <v>59</v>
      </c>
      <c r="H17" s="4">
        <v>1347</v>
      </c>
      <c r="I17" s="4">
        <v>9</v>
      </c>
      <c r="J17" s="4">
        <v>10</v>
      </c>
      <c r="K17" s="4">
        <v>403</v>
      </c>
      <c r="L17" s="4">
        <v>1</v>
      </c>
      <c r="M17" s="4" t="s">
        <v>37</v>
      </c>
      <c r="N17" s="4" t="s">
        <v>37</v>
      </c>
      <c r="O17" s="8" t="s">
        <v>60</v>
      </c>
      <c r="P17" s="4">
        <v>1057</v>
      </c>
      <c r="Q17" s="4">
        <v>0</v>
      </c>
      <c r="R17" s="4">
        <v>5</v>
      </c>
      <c r="S17" s="9">
        <v>1</v>
      </c>
      <c r="T17" s="9">
        <v>0</v>
      </c>
      <c r="U17" s="3">
        <v>1</v>
      </c>
      <c r="V17" s="9" t="str">
        <f>[1]Cal_040313_12mm!$E$2</f>
        <v>Cal_040313_12mm</v>
      </c>
      <c r="W17" s="9">
        <f>[1]Cal_040313_12mm!$Q$3</f>
        <v>1.8724603852227975</v>
      </c>
      <c r="X17" s="9">
        <f>[1]Cal_040313_12mm!$R$3</f>
        <v>0.49331940793377654</v>
      </c>
      <c r="Y17" s="10">
        <v>5.4139999999999997</v>
      </c>
      <c r="Z17" s="10">
        <v>4.6669999999999998</v>
      </c>
      <c r="AA17" s="4">
        <f t="shared" si="4"/>
        <v>0.88342857142857145</v>
      </c>
      <c r="AB17" s="9">
        <f t="shared" si="0"/>
        <v>4.5305714285714282</v>
      </c>
      <c r="AC17" s="9">
        <f t="shared" si="1"/>
        <v>3.7835714285714284</v>
      </c>
      <c r="AD17" s="9">
        <f t="shared" si="2"/>
        <v>3.7411984191759924E-3</v>
      </c>
      <c r="AE17" s="9">
        <f t="shared" si="3"/>
        <v>1.2791273518002083E-2</v>
      </c>
      <c r="AF17" s="11">
        <f>[1]Cal_040313_12mm!$A$2</f>
        <v>41367</v>
      </c>
    </row>
    <row r="18" spans="1:32" x14ac:dyDescent="0.3">
      <c r="A18" s="4" t="s">
        <v>34</v>
      </c>
      <c r="B18" s="5">
        <v>41899</v>
      </c>
      <c r="C18" s="6">
        <v>0.57430555555555551</v>
      </c>
      <c r="D18" s="4"/>
      <c r="E18" s="4"/>
      <c r="F18" s="7" t="s">
        <v>58</v>
      </c>
      <c r="G18" s="7" t="s">
        <v>59</v>
      </c>
      <c r="H18" s="4">
        <v>1347</v>
      </c>
      <c r="I18" s="4">
        <v>9</v>
      </c>
      <c r="J18" s="4">
        <v>13</v>
      </c>
      <c r="K18" s="4">
        <v>52</v>
      </c>
      <c r="L18" s="4">
        <v>2</v>
      </c>
      <c r="M18" s="4" t="s">
        <v>37</v>
      </c>
      <c r="N18" s="4" t="s">
        <v>37</v>
      </c>
      <c r="O18" s="8" t="s">
        <v>61</v>
      </c>
      <c r="P18" s="4">
        <v>1056</v>
      </c>
      <c r="Q18" s="4">
        <v>0</v>
      </c>
      <c r="R18" s="4">
        <v>5</v>
      </c>
      <c r="S18" s="9">
        <v>1</v>
      </c>
      <c r="T18" s="9">
        <v>0</v>
      </c>
      <c r="U18" s="3">
        <v>1</v>
      </c>
      <c r="V18" s="9" t="str">
        <f>[1]Cal_040313_12mm!$E$2</f>
        <v>Cal_040313_12mm</v>
      </c>
      <c r="W18" s="9">
        <f>[1]Cal_040313_12mm!$Q$3</f>
        <v>1.8724603852227975</v>
      </c>
      <c r="X18" s="9">
        <f>[1]Cal_040313_12mm!$R$3</f>
        <v>0.49331940793377654</v>
      </c>
      <c r="Y18" s="10">
        <v>324.89999999999998</v>
      </c>
      <c r="Z18" s="10">
        <v>200.4</v>
      </c>
      <c r="AA18" s="4">
        <f t="shared" si="4"/>
        <v>0.88342857142857145</v>
      </c>
      <c r="AB18" s="9">
        <f t="shared" si="0"/>
        <v>324.01657142857141</v>
      </c>
      <c r="AC18" s="9">
        <f t="shared" si="1"/>
        <v>199.51657142857144</v>
      </c>
      <c r="AD18" s="9">
        <f t="shared" si="2"/>
        <v>0.62412353678488375</v>
      </c>
      <c r="AE18" s="9">
        <f t="shared" si="3"/>
        <v>0.24849794321786534</v>
      </c>
      <c r="AF18" s="11">
        <f>[1]Cal_040313_12mm!$A$2</f>
        <v>41367</v>
      </c>
    </row>
    <row r="19" spans="1:32" x14ac:dyDescent="0.3">
      <c r="A19" s="4" t="s">
        <v>34</v>
      </c>
      <c r="B19" s="5">
        <v>41899</v>
      </c>
      <c r="C19" s="6">
        <v>0.57430555555555551</v>
      </c>
      <c r="D19" s="4"/>
      <c r="E19" s="4"/>
      <c r="F19" s="7" t="s">
        <v>58</v>
      </c>
      <c r="G19" s="7" t="s">
        <v>59</v>
      </c>
      <c r="H19" s="4">
        <v>1347</v>
      </c>
      <c r="I19" s="4">
        <v>9</v>
      </c>
      <c r="J19" s="4">
        <v>18</v>
      </c>
      <c r="K19" s="4">
        <v>33</v>
      </c>
      <c r="L19" s="4">
        <v>3</v>
      </c>
      <c r="M19" s="4" t="s">
        <v>37</v>
      </c>
      <c r="N19" s="4" t="s">
        <v>37</v>
      </c>
      <c r="O19" s="8" t="s">
        <v>62</v>
      </c>
      <c r="P19" s="4">
        <v>1056</v>
      </c>
      <c r="Q19" s="4">
        <v>0</v>
      </c>
      <c r="R19" s="4">
        <v>5</v>
      </c>
      <c r="S19" s="9">
        <v>1</v>
      </c>
      <c r="T19" s="9">
        <v>0</v>
      </c>
      <c r="U19" s="3">
        <v>1</v>
      </c>
      <c r="V19" s="9" t="str">
        <f>[1]Cal_040313_12mm!$E$2</f>
        <v>Cal_040313_12mm</v>
      </c>
      <c r="W19" s="9">
        <f>[1]Cal_040313_12mm!$Q$3</f>
        <v>1.8724603852227975</v>
      </c>
      <c r="X19" s="9">
        <f>[1]Cal_040313_12mm!$R$3</f>
        <v>0.49331940793377654</v>
      </c>
      <c r="Y19" s="10">
        <v>339</v>
      </c>
      <c r="Z19" s="10">
        <v>205.3</v>
      </c>
      <c r="AA19" s="4">
        <f t="shared" si="4"/>
        <v>0.88342857142857145</v>
      </c>
      <c r="AB19" s="9">
        <f t="shared" si="0"/>
        <v>338.11657142857143</v>
      </c>
      <c r="AC19" s="9">
        <f t="shared" si="1"/>
        <v>204.41657142857144</v>
      </c>
      <c r="AD19" s="9">
        <f t="shared" si="2"/>
        <v>0.67024350898103591</v>
      </c>
      <c r="AE19" s="9">
        <f t="shared" si="3"/>
        <v>0.22380899913831387</v>
      </c>
      <c r="AF19" s="11">
        <f>[1]Cal_040313_12mm!$A$2</f>
        <v>41367</v>
      </c>
    </row>
    <row r="20" spans="1:32" x14ac:dyDescent="0.3">
      <c r="A20" s="4" t="s">
        <v>34</v>
      </c>
      <c r="B20" s="5">
        <v>41899</v>
      </c>
      <c r="C20" s="6">
        <v>0.57430555555555551</v>
      </c>
      <c r="D20" s="4"/>
      <c r="E20" s="4"/>
      <c r="F20" s="7" t="s">
        <v>58</v>
      </c>
      <c r="G20" s="7" t="s">
        <v>59</v>
      </c>
      <c r="H20" s="4">
        <v>1347</v>
      </c>
      <c r="I20" s="4">
        <v>9</v>
      </c>
      <c r="J20" s="4">
        <v>22</v>
      </c>
      <c r="K20" s="4" t="s">
        <v>63</v>
      </c>
      <c r="L20" s="4"/>
      <c r="M20" s="4"/>
      <c r="N20" s="4"/>
      <c r="O20" s="8" t="s">
        <v>64</v>
      </c>
      <c r="P20" s="4">
        <v>1056</v>
      </c>
      <c r="Q20" s="4">
        <v>0</v>
      </c>
      <c r="R20" s="4">
        <v>5</v>
      </c>
      <c r="S20" s="9">
        <v>1</v>
      </c>
      <c r="T20" s="9">
        <v>0</v>
      </c>
      <c r="U20" s="3">
        <v>1</v>
      </c>
      <c r="V20" s="9" t="str">
        <f>[1]Cal_040313_12mm!$E$2</f>
        <v>Cal_040313_12mm</v>
      </c>
      <c r="W20" s="9">
        <f>[1]Cal_040313_12mm!$Q$3</f>
        <v>1.8724603852227975</v>
      </c>
      <c r="X20" s="9">
        <f>[1]Cal_040313_12mm!$R$3</f>
        <v>0.49331940793377654</v>
      </c>
      <c r="Y20" s="10">
        <v>337.2</v>
      </c>
      <c r="Z20" s="10">
        <v>199</v>
      </c>
      <c r="AA20" s="4">
        <f t="shared" si="4"/>
        <v>0.88342857142857145</v>
      </c>
      <c r="AB20" s="9">
        <f t="shared" si="0"/>
        <v>336.31657142857142</v>
      </c>
      <c r="AC20" s="9">
        <f t="shared" si="1"/>
        <v>198.11657142857143</v>
      </c>
      <c r="AD20" s="9">
        <f t="shared" si="2"/>
        <v>0.6928021910335016</v>
      </c>
      <c r="AE20" s="9">
        <f t="shared" si="3"/>
        <v>0.17369613807879011</v>
      </c>
      <c r="AF20" s="11">
        <f>[1]Cal_040313_12mm!$A$2</f>
        <v>41367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B34" sqref="B34"/>
    </sheetView>
  </sheetViews>
  <sheetFormatPr defaultColWidth="9.109375" defaultRowHeight="10.199999999999999" x14ac:dyDescent="0.2"/>
  <cols>
    <col min="1" max="1" width="15.88671875" style="18" bestFit="1" customWidth="1"/>
    <col min="2" max="2" width="11.33203125" style="18" bestFit="1" customWidth="1"/>
    <col min="3" max="3" width="39.109375" style="18" bestFit="1" customWidth="1"/>
    <col min="4" max="4" width="8.6640625" style="18" bestFit="1" customWidth="1"/>
    <col min="5" max="5" width="13.109375" style="18" bestFit="1" customWidth="1"/>
    <col min="6" max="6" width="1.33203125" style="18" customWidth="1"/>
    <col min="7" max="7" width="12.6640625" style="18" bestFit="1" customWidth="1"/>
    <col min="8" max="8" width="8.6640625" style="18" bestFit="1" customWidth="1"/>
    <col min="9" max="9" width="11" style="18" bestFit="1" customWidth="1"/>
    <col min="10" max="10" width="12" style="18" bestFit="1" customWidth="1"/>
    <col min="11" max="11" width="20.33203125" style="18" bestFit="1" customWidth="1"/>
    <col min="12" max="12" width="19.88671875" style="18" bestFit="1" customWidth="1"/>
    <col min="13" max="13" width="30" style="18" bestFit="1" customWidth="1"/>
    <col min="14" max="14" width="29.6640625" style="18" bestFit="1" customWidth="1"/>
    <col min="15" max="15" width="38.5546875" style="18" bestFit="1" customWidth="1"/>
    <col min="16" max="16" width="32.109375" style="18" bestFit="1" customWidth="1"/>
    <col min="17" max="16384" width="9.109375" style="18"/>
  </cols>
  <sheetData>
    <row r="1" spans="1:22" s="16" customFormat="1" x14ac:dyDescent="0.2">
      <c r="A1" s="16" t="s">
        <v>66</v>
      </c>
      <c r="B1" s="16" t="s">
        <v>67</v>
      </c>
      <c r="C1" s="16" t="s">
        <v>32</v>
      </c>
      <c r="D1" s="16" t="s">
        <v>68</v>
      </c>
      <c r="E1" s="16" t="s">
        <v>69</v>
      </c>
      <c r="G1" s="16" t="s">
        <v>70</v>
      </c>
      <c r="H1" s="16" t="s">
        <v>71</v>
      </c>
      <c r="I1" s="16" t="s">
        <v>72</v>
      </c>
      <c r="J1" s="16" t="s">
        <v>73</v>
      </c>
      <c r="K1" s="16" t="s">
        <v>74</v>
      </c>
      <c r="L1" s="16" t="s">
        <v>75</v>
      </c>
      <c r="M1" s="16" t="s">
        <v>76</v>
      </c>
      <c r="N1" s="16" t="s">
        <v>77</v>
      </c>
      <c r="O1" s="16" t="s">
        <v>78</v>
      </c>
      <c r="P1" s="16" t="s">
        <v>79</v>
      </c>
      <c r="Q1" s="16" t="s">
        <v>80</v>
      </c>
      <c r="R1" s="16" t="s">
        <v>81</v>
      </c>
    </row>
    <row r="2" spans="1:22" ht="14.4" x14ac:dyDescent="0.3">
      <c r="A2" s="17">
        <v>41367</v>
      </c>
      <c r="B2" s="18" t="s">
        <v>82</v>
      </c>
      <c r="C2" s="19" t="s">
        <v>83</v>
      </c>
      <c r="D2" s="18" t="s">
        <v>84</v>
      </c>
      <c r="E2" s="18" t="s">
        <v>65</v>
      </c>
      <c r="G2">
        <v>0.85599999999999998</v>
      </c>
      <c r="H2" s="18">
        <f>AVERAGE(G2:G7)</f>
        <v>0.84583333333333321</v>
      </c>
      <c r="I2" s="18" t="s">
        <v>85</v>
      </c>
      <c r="J2" s="20">
        <f>(0.94467-0.0001311)/87.67*10^6</f>
        <v>10773.798334664081</v>
      </c>
    </row>
    <row r="3" spans="1:22" ht="14.4" x14ac:dyDescent="0.3">
      <c r="G3">
        <v>0.98299999999999998</v>
      </c>
      <c r="I3" s="21">
        <v>20</v>
      </c>
      <c r="J3" s="20">
        <f>J2/I3</f>
        <v>538.68991673320409</v>
      </c>
      <c r="K3" s="18">
        <v>1093</v>
      </c>
      <c r="L3" s="18">
        <v>579.5</v>
      </c>
      <c r="M3" s="18">
        <f>K3-H2</f>
        <v>1092.1541666666667</v>
      </c>
      <c r="N3" s="18">
        <f>L3-H2</f>
        <v>578.6541666666667</v>
      </c>
      <c r="O3" s="18">
        <f t="shared" ref="O3:O13" si="0">M3/N3</f>
        <v>1.8874039617791283</v>
      </c>
      <c r="P3" s="18">
        <f t="shared" ref="P3:P13" si="1">J3/M3</f>
        <v>0.4932361503296962</v>
      </c>
      <c r="Q3" s="22">
        <f>LINEST(M3:M13,N3:N13,FALSE)</f>
        <v>1.8724603852227975</v>
      </c>
      <c r="R3" s="23">
        <f>LINEST(J3:J13,M3:M13,FALSE)</f>
        <v>0.49331940793377654</v>
      </c>
      <c r="S3" s="20"/>
      <c r="U3" s="20">
        <f t="shared" ref="U3:U13" si="2">$Q$3</f>
        <v>1.8724603852227975</v>
      </c>
      <c r="V3" s="20">
        <v>1.9</v>
      </c>
    </row>
    <row r="4" spans="1:22" ht="14.4" x14ac:dyDescent="0.3">
      <c r="G4">
        <v>0.91300000000000003</v>
      </c>
      <c r="I4" s="18">
        <f t="shared" ref="I4:I12" si="3">I3*2</f>
        <v>40</v>
      </c>
      <c r="J4" s="20">
        <f>J2/I4</f>
        <v>269.34495836660204</v>
      </c>
      <c r="K4" s="24">
        <v>543.4</v>
      </c>
      <c r="L4" s="24">
        <v>299.2</v>
      </c>
      <c r="M4" s="18">
        <f>K4-H2</f>
        <v>542.55416666666667</v>
      </c>
      <c r="N4" s="18">
        <f>L4-H2</f>
        <v>298.35416666666663</v>
      </c>
      <c r="O4" s="18">
        <f t="shared" si="0"/>
        <v>1.8184903288876477</v>
      </c>
      <c r="P4" s="18">
        <f t="shared" si="1"/>
        <v>0.49643883489347829</v>
      </c>
      <c r="Q4" s="22"/>
      <c r="R4" s="23"/>
      <c r="S4" s="20"/>
      <c r="U4" s="20">
        <f t="shared" si="2"/>
        <v>1.8724603852227975</v>
      </c>
      <c r="V4" s="20">
        <v>1.9</v>
      </c>
    </row>
    <row r="5" spans="1:22" ht="14.4" x14ac:dyDescent="0.3">
      <c r="G5">
        <v>0.80700000000000005</v>
      </c>
      <c r="I5" s="18">
        <f t="shared" si="3"/>
        <v>80</v>
      </c>
      <c r="J5" s="18">
        <f>J2/I5</f>
        <v>134.67247918330102</v>
      </c>
      <c r="K5" s="18">
        <v>279.8</v>
      </c>
      <c r="L5" s="18">
        <v>150.1</v>
      </c>
      <c r="M5" s="18">
        <f>K5-H2</f>
        <v>278.95416666666665</v>
      </c>
      <c r="N5" s="18">
        <f>L5-H2</f>
        <v>149.25416666666666</v>
      </c>
      <c r="O5" s="18">
        <f t="shared" si="0"/>
        <v>1.8689874654532257</v>
      </c>
      <c r="P5" s="18">
        <f t="shared" si="1"/>
        <v>0.48277636714502453</v>
      </c>
      <c r="Q5" s="18" t="s">
        <v>86</v>
      </c>
      <c r="U5" s="20">
        <f t="shared" si="2"/>
        <v>1.8724603852227975</v>
      </c>
      <c r="V5" s="20">
        <v>1.9</v>
      </c>
    </row>
    <row r="6" spans="1:22" ht="14.4" x14ac:dyDescent="0.3">
      <c r="G6">
        <v>0.57799999999999996</v>
      </c>
      <c r="I6" s="18">
        <f t="shared" si="3"/>
        <v>160</v>
      </c>
      <c r="J6" s="20">
        <f>J2/I6</f>
        <v>67.336239591650511</v>
      </c>
      <c r="K6" s="18">
        <v>137.80000000000001</v>
      </c>
      <c r="L6" s="18">
        <v>74.680000000000007</v>
      </c>
      <c r="M6" s="18">
        <f>K6-H2</f>
        <v>136.95416666666668</v>
      </c>
      <c r="N6" s="18">
        <f>L6-H2</f>
        <v>73.834166666666675</v>
      </c>
      <c r="O6" s="18">
        <f t="shared" si="0"/>
        <v>1.8548887710070991</v>
      </c>
      <c r="P6" s="18">
        <f t="shared" si="1"/>
        <v>0.49166988657994221</v>
      </c>
      <c r="Q6" s="25">
        <f>AVERAGE(O3:O13)</f>
        <v>1.9146205701536372</v>
      </c>
      <c r="R6" s="25">
        <f>AVERAGE(P3:P13)</f>
        <v>0.51019682364526353</v>
      </c>
      <c r="U6" s="20">
        <f t="shared" si="2"/>
        <v>1.8724603852227975</v>
      </c>
      <c r="V6" s="20">
        <v>1.9</v>
      </c>
    </row>
    <row r="7" spans="1:22" ht="14.4" x14ac:dyDescent="0.3">
      <c r="G7">
        <v>0.93799999999999994</v>
      </c>
      <c r="I7" s="18">
        <f t="shared" si="3"/>
        <v>320</v>
      </c>
      <c r="J7" s="20">
        <f>J2/I7</f>
        <v>33.668119795825255</v>
      </c>
      <c r="K7" s="18">
        <v>68.709999999999994</v>
      </c>
      <c r="L7" s="18">
        <v>37.42</v>
      </c>
      <c r="M7" s="18">
        <f>K7-H2</f>
        <v>67.864166666666662</v>
      </c>
      <c r="N7" s="18">
        <f>L7-H2</f>
        <v>36.57416666666667</v>
      </c>
      <c r="O7" s="18">
        <f t="shared" si="0"/>
        <v>1.8555218847547219</v>
      </c>
      <c r="P7" s="18">
        <f t="shared" si="1"/>
        <v>0.49611041363250497</v>
      </c>
      <c r="U7" s="20">
        <f t="shared" si="2"/>
        <v>1.8724603852227975</v>
      </c>
      <c r="V7" s="20">
        <v>1.9</v>
      </c>
    </row>
    <row r="8" spans="1:22" ht="14.4" x14ac:dyDescent="0.3">
      <c r="G8"/>
      <c r="I8" s="18">
        <f t="shared" si="3"/>
        <v>640</v>
      </c>
      <c r="J8" s="18">
        <f>J2/I8</f>
        <v>16.834059897912628</v>
      </c>
      <c r="K8" s="18">
        <v>34.06</v>
      </c>
      <c r="L8" s="18">
        <v>18.84</v>
      </c>
      <c r="M8" s="18">
        <f>K8-H2</f>
        <v>33.214166666666671</v>
      </c>
      <c r="N8" s="18">
        <f>L8-H2</f>
        <v>17.994166666666665</v>
      </c>
      <c r="O8" s="18">
        <f t="shared" si="0"/>
        <v>1.8458296670217205</v>
      </c>
      <c r="P8" s="18">
        <f t="shared" si="1"/>
        <v>0.50683372751323863</v>
      </c>
      <c r="S8" s="20"/>
      <c r="U8" s="20">
        <f t="shared" si="2"/>
        <v>1.8724603852227975</v>
      </c>
      <c r="V8" s="20">
        <v>1.9</v>
      </c>
    </row>
    <row r="9" spans="1:22" ht="14.4" x14ac:dyDescent="0.3">
      <c r="G9"/>
      <c r="I9" s="18">
        <f t="shared" si="3"/>
        <v>1280</v>
      </c>
      <c r="J9" s="20">
        <f>J2/I9</f>
        <v>8.4170299489563138</v>
      </c>
      <c r="K9" s="18">
        <v>17.48</v>
      </c>
      <c r="L9" s="18">
        <v>9.5359999999999996</v>
      </c>
      <c r="M9" s="18">
        <f>K9-H2</f>
        <v>16.634166666666665</v>
      </c>
      <c r="N9" s="18">
        <f>L9-H2</f>
        <v>8.6901666666666664</v>
      </c>
      <c r="O9" s="18">
        <f t="shared" si="0"/>
        <v>1.9141366678813216</v>
      </c>
      <c r="P9" s="18">
        <f t="shared" si="1"/>
        <v>0.50600851353877951</v>
      </c>
      <c r="Q9" s="22"/>
      <c r="S9" s="20"/>
      <c r="U9" s="20">
        <f t="shared" si="2"/>
        <v>1.8724603852227975</v>
      </c>
      <c r="V9" s="20">
        <v>1.9</v>
      </c>
    </row>
    <row r="10" spans="1:22" ht="14.4" x14ac:dyDescent="0.3">
      <c r="G10"/>
      <c r="I10" s="18">
        <f t="shared" si="3"/>
        <v>2560</v>
      </c>
      <c r="J10" s="20">
        <f>J2/I10</f>
        <v>4.2085149744781569</v>
      </c>
      <c r="K10" s="18">
        <v>9.1270000000000007</v>
      </c>
      <c r="L10" s="26">
        <v>5.1710000000000003</v>
      </c>
      <c r="M10" s="18">
        <f>K10-H2</f>
        <v>8.2811666666666675</v>
      </c>
      <c r="N10" s="18">
        <f>L10-H2</f>
        <v>4.325166666666667</v>
      </c>
      <c r="O10" s="18">
        <f t="shared" si="0"/>
        <v>1.9146468344187122</v>
      </c>
      <c r="P10" s="18">
        <f t="shared" si="1"/>
        <v>0.50820314864791472</v>
      </c>
      <c r="R10" s="22"/>
      <c r="U10" s="20">
        <f t="shared" si="2"/>
        <v>1.8724603852227975</v>
      </c>
      <c r="V10" s="20">
        <v>1.9</v>
      </c>
    </row>
    <row r="11" spans="1:22" ht="14.4" x14ac:dyDescent="0.3">
      <c r="G11"/>
      <c r="I11" s="18">
        <f t="shared" si="3"/>
        <v>5120</v>
      </c>
      <c r="J11" s="18">
        <f>J2/I11</f>
        <v>2.1042574872390785</v>
      </c>
      <c r="K11" s="18">
        <v>5.1210000000000004</v>
      </c>
      <c r="L11" s="18">
        <v>2.972</v>
      </c>
      <c r="M11" s="18">
        <f>K11-H2</f>
        <v>4.2751666666666672</v>
      </c>
      <c r="N11" s="18">
        <f>L11-H2</f>
        <v>2.1261666666666668</v>
      </c>
      <c r="O11" s="18">
        <f t="shared" si="0"/>
        <v>2.0107392020067416</v>
      </c>
      <c r="P11" s="18">
        <f t="shared" si="1"/>
        <v>0.49220478435283105</v>
      </c>
      <c r="R11" s="23"/>
      <c r="S11" s="20"/>
      <c r="U11" s="20">
        <f t="shared" si="2"/>
        <v>1.8724603852227975</v>
      </c>
      <c r="V11" s="20">
        <v>1.9</v>
      </c>
    </row>
    <row r="12" spans="1:22" ht="14.4" x14ac:dyDescent="0.3">
      <c r="G12"/>
      <c r="I12" s="18">
        <f t="shared" si="3"/>
        <v>10240</v>
      </c>
      <c r="J12" s="20">
        <f>J2/I12</f>
        <v>1.0521287436195392</v>
      </c>
      <c r="K12" s="26">
        <v>2.9420000000000002</v>
      </c>
      <c r="L12" s="18">
        <v>1.784</v>
      </c>
      <c r="M12" s="26">
        <f>K12-H2</f>
        <v>2.096166666666667</v>
      </c>
      <c r="N12" s="18">
        <f>L12-H2</f>
        <v>0.93816666666666682</v>
      </c>
      <c r="O12" s="18">
        <f t="shared" si="0"/>
        <v>2.2343222597264165</v>
      </c>
      <c r="P12" s="18">
        <f t="shared" si="1"/>
        <v>0.50192990869978804</v>
      </c>
      <c r="R12" s="23"/>
      <c r="S12" s="20"/>
      <c r="U12" s="20">
        <f t="shared" si="2"/>
        <v>1.8724603852227975</v>
      </c>
      <c r="V12" s="20">
        <v>1.9</v>
      </c>
    </row>
    <row r="13" spans="1:22" ht="14.4" x14ac:dyDescent="0.3">
      <c r="G13"/>
      <c r="I13" s="18">
        <v>20480</v>
      </c>
      <c r="J13" s="20">
        <f>J2/I13</f>
        <v>0.52606437180976962</v>
      </c>
      <c r="K13" s="26">
        <v>1.6719999999999999</v>
      </c>
      <c r="L13" s="26">
        <v>1.2909999999999999</v>
      </c>
      <c r="M13" s="18">
        <f>K13-H2</f>
        <v>0.82616666666666672</v>
      </c>
      <c r="N13" s="26">
        <f>L13-H2</f>
        <v>0.44516666666666671</v>
      </c>
      <c r="O13" s="18">
        <f t="shared" si="0"/>
        <v>1.8558592287532758</v>
      </c>
      <c r="P13" s="18">
        <f t="shared" si="1"/>
        <v>0.63675332476469992</v>
      </c>
      <c r="U13" s="20">
        <f t="shared" si="2"/>
        <v>1.8724603852227975</v>
      </c>
      <c r="V13" s="20">
        <v>1.9</v>
      </c>
    </row>
    <row r="14" spans="1:22" ht="14.4" x14ac:dyDescent="0.3">
      <c r="G14"/>
    </row>
    <row r="15" spans="1:22" ht="14.4" x14ac:dyDescent="0.3">
      <c r="G15"/>
      <c r="I15" s="20"/>
    </row>
    <row r="16" spans="1:22" x14ac:dyDescent="0.2">
      <c r="G16" s="20"/>
    </row>
    <row r="17" spans="7:18" ht="14.4" x14ac:dyDescent="0.3">
      <c r="G17"/>
      <c r="H17" s="27">
        <v>41360</v>
      </c>
      <c r="I17" s="20">
        <f>(0.045534+0.0000771)/87.67*10^6</f>
        <v>520.25892551613993</v>
      </c>
      <c r="J17" s="20">
        <f>(0.045512+0.0002591)/87.67*10^6</f>
        <v>522.0839511805633</v>
      </c>
      <c r="R17" s="18" t="s">
        <v>87</v>
      </c>
    </row>
    <row r="18" spans="7:18" ht="14.4" x14ac:dyDescent="0.3">
      <c r="G18"/>
      <c r="I18" s="18">
        <f>I17/J2</f>
        <v>4.8289276386605136E-2</v>
      </c>
      <c r="J18" s="18">
        <f>J17/J2</f>
        <v>4.845867120983581E-2</v>
      </c>
    </row>
    <row r="19" spans="7:18" ht="14.4" x14ac:dyDescent="0.3">
      <c r="G19"/>
      <c r="I19" s="20">
        <f>J2/I17</f>
        <v>20.708531475890744</v>
      </c>
      <c r="J19" s="20">
        <f>J2/J17</f>
        <v>20.636141582789147</v>
      </c>
      <c r="K19" s="20"/>
      <c r="L19" s="20"/>
      <c r="M19" s="20"/>
    </row>
    <row r="20" spans="7:18" ht="14.4" x14ac:dyDescent="0.3">
      <c r="G20"/>
      <c r="I20" s="20"/>
    </row>
    <row r="21" spans="7:18" ht="14.4" x14ac:dyDescent="0.3">
      <c r="G21"/>
      <c r="H21" s="27">
        <v>41359</v>
      </c>
      <c r="I21" s="20">
        <f>(0.057992-0.0004891)/87.67*10^6</f>
        <v>655.90167674232919</v>
      </c>
      <c r="J21" s="20"/>
    </row>
    <row r="22" spans="7:18" x14ac:dyDescent="0.2">
      <c r="I22" s="18">
        <f>I21/J6</f>
        <v>9.7406935807514117</v>
      </c>
    </row>
    <row r="23" spans="7:18" x14ac:dyDescent="0.2">
      <c r="I23" s="20">
        <f>J6/I21</f>
        <v>0.10266209399873746</v>
      </c>
      <c r="J23" s="20"/>
    </row>
    <row r="26" spans="7:18" x14ac:dyDescent="0.2">
      <c r="R26" s="18">
        <f>1.016/1.024</f>
        <v>0.9921875</v>
      </c>
    </row>
    <row r="28" spans="7:18" x14ac:dyDescent="0.2">
      <c r="R28" s="18">
        <f>1285/1345</f>
        <v>0.95539033457249067</v>
      </c>
    </row>
    <row r="31" spans="7:18" x14ac:dyDescent="0.2">
      <c r="R31" s="18">
        <f>0.4487/0.4286</f>
        <v>1.0468968735417639</v>
      </c>
    </row>
    <row r="35" spans="11:18" x14ac:dyDescent="0.2">
      <c r="R35" s="18">
        <f>19.74/20.06</f>
        <v>0.98404785643070791</v>
      </c>
    </row>
    <row r="40" spans="11:18" x14ac:dyDescent="0.2">
      <c r="K40" s="24"/>
      <c r="L40" s="24"/>
      <c r="M40" s="24"/>
    </row>
    <row r="46" spans="11:18" x14ac:dyDescent="0.2">
      <c r="K46" s="26"/>
      <c r="L46" s="26"/>
      <c r="M46" s="26"/>
    </row>
    <row r="49" spans="11:13" x14ac:dyDescent="0.2">
      <c r="K49" s="26"/>
      <c r="L49" s="26"/>
      <c r="M49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</vt:lpstr>
      <vt:lpstr>Cal_040313_12mm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rtravis</cp:lastModifiedBy>
  <dcterms:created xsi:type="dcterms:W3CDTF">2017-09-21T13:27:20Z</dcterms:created>
  <dcterms:modified xsi:type="dcterms:W3CDTF">2017-09-21T13:33:41Z</dcterms:modified>
</cp:coreProperties>
</file>