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lizhong/develop/private/qingdao_cic/resources/"/>
    </mc:Choice>
  </mc:AlternateContent>
  <xr:revisionPtr revIDLastSave="0" documentId="13_ncr:1_{6B532D91-D926-7E44-8ABD-E98835B5E2AC}" xr6:coauthVersionLast="47" xr6:coauthVersionMax="47" xr10:uidLastSave="{00000000-0000-0000-0000-000000000000}"/>
  <bookViews>
    <workbookView xWindow="0" yWindow="500" windowWidth="23260" windowHeight="18000" tabRatio="855" activeTab="3" xr2:uid="{00000000-000D-0000-FFFF-FFFF00000000}"/>
  </bookViews>
  <sheets>
    <sheet name="工作记录" sheetId="1" r:id="rId1"/>
    <sheet name="货物信息" sheetId="2" r:id="rId2"/>
    <sheet name="水尺计算" sheetId="3" r:id="rId3"/>
    <sheet name="船用物料" sheetId="4" r:id="rId4"/>
    <sheet name="汇总数据" sheetId="5" r:id="rId5"/>
    <sheet name="记(1)" sheetId="6" r:id="rId6"/>
    <sheet name="排(2)" sheetId="7" r:id="rId7"/>
    <sheet name="排(1)" sheetId="8" r:id="rId8"/>
    <sheet name="压(1)" sheetId="9" r:id="rId9"/>
    <sheet name="压(2)" sheetId="10" r:id="rId10"/>
    <sheet name="汇(1)" sheetId="11" r:id="rId11"/>
    <sheet name="报(1)" sheetId="12" r:id="rId12"/>
  </sheets>
  <definedNames>
    <definedName name="Difnum">水尺计算!$D$1</definedName>
    <definedName name="_xlnm.Print_Area" localSheetId="10">'汇(1)'!$B$1:$G$38</definedName>
    <definedName name="_xlnm.Print_Area" localSheetId="5">'记(1)'!$B$1:$J$31</definedName>
    <definedName name="_xlnm.Print_Area" localSheetId="7">'排(1)'!$B$1:$M$40</definedName>
    <definedName name="_xlnm.Print_Area" localSheetId="6">'排(2)'!$B$1:$M$40</definedName>
    <definedName name="_xlnm.Print_Area" localSheetId="8">'压(1)'!$B$1:$L$42</definedName>
    <definedName name="_xlnm.Print_Area" localSheetId="9">'压(2)'!$B$1:$L$42</definedName>
    <definedName name="报检号">工作记录!$C$16:$C$22</definedName>
    <definedName name="货物名称">工作记录!$D$15:$D$22</definedName>
  </definedNames>
  <calcPr calcId="191029"/>
</workbook>
</file>

<file path=xl/calcChain.xml><?xml version="1.0" encoding="utf-8"?>
<calcChain xmlns="http://schemas.openxmlformats.org/spreadsheetml/2006/main">
  <c r="H16" i="12" l="1"/>
  <c r="F16" i="12"/>
  <c r="H13" i="12"/>
  <c r="E13" i="12"/>
  <c r="D34" i="11"/>
  <c r="C33" i="11"/>
  <c r="E32" i="11"/>
  <c r="C32" i="11"/>
  <c r="G7" i="11"/>
  <c r="I7" i="11" s="1"/>
  <c r="F7" i="11"/>
  <c r="P42" i="10"/>
  <c r="O42" i="10"/>
  <c r="P41" i="10"/>
  <c r="O41" i="10"/>
  <c r="P40" i="10"/>
  <c r="O40" i="10"/>
  <c r="C39" i="10"/>
  <c r="N38" i="10"/>
  <c r="O35" i="10"/>
  <c r="I35" i="10"/>
  <c r="G35" i="10"/>
  <c r="D35" i="10"/>
  <c r="C35" i="10"/>
  <c r="B35" i="10"/>
  <c r="O34" i="10"/>
  <c r="I34" i="10"/>
  <c r="G34" i="10"/>
  <c r="D34" i="10"/>
  <c r="C34" i="10"/>
  <c r="B34" i="10"/>
  <c r="O33" i="10"/>
  <c r="I33" i="10"/>
  <c r="G33" i="10"/>
  <c r="D33" i="10"/>
  <c r="C33" i="10"/>
  <c r="B33" i="10"/>
  <c r="O32" i="10"/>
  <c r="I32" i="10"/>
  <c r="G32" i="10"/>
  <c r="D32" i="10"/>
  <c r="C32" i="10"/>
  <c r="B32" i="10"/>
  <c r="O31" i="10"/>
  <c r="I31" i="10"/>
  <c r="G31" i="10"/>
  <c r="D31" i="10"/>
  <c r="C31" i="10"/>
  <c r="B31" i="10"/>
  <c r="O30" i="10"/>
  <c r="I30" i="10"/>
  <c r="G30" i="10"/>
  <c r="D30" i="10"/>
  <c r="C30" i="10"/>
  <c r="B30" i="10"/>
  <c r="O29" i="10"/>
  <c r="I29" i="10"/>
  <c r="G29" i="10"/>
  <c r="D29" i="10"/>
  <c r="C29" i="10"/>
  <c r="B29" i="10"/>
  <c r="O28" i="10"/>
  <c r="I28" i="10"/>
  <c r="G28" i="10"/>
  <c r="D28" i="10"/>
  <c r="C28" i="10"/>
  <c r="B28" i="10"/>
  <c r="O27" i="10"/>
  <c r="I27" i="10"/>
  <c r="G27" i="10"/>
  <c r="D27" i="10"/>
  <c r="C27" i="10"/>
  <c r="B27" i="10"/>
  <c r="O26" i="10"/>
  <c r="I26" i="10"/>
  <c r="G26" i="10"/>
  <c r="D26" i="10"/>
  <c r="C26" i="10"/>
  <c r="B26" i="10"/>
  <c r="O25" i="10"/>
  <c r="I25" i="10"/>
  <c r="G25" i="10"/>
  <c r="D25" i="10"/>
  <c r="C25" i="10"/>
  <c r="B25" i="10"/>
  <c r="O24" i="10"/>
  <c r="I24" i="10"/>
  <c r="G24" i="10"/>
  <c r="D24" i="10"/>
  <c r="C24" i="10"/>
  <c r="B24" i="10"/>
  <c r="O23" i="10"/>
  <c r="I23" i="10"/>
  <c r="G23" i="10"/>
  <c r="D23" i="10"/>
  <c r="C23" i="10"/>
  <c r="B23" i="10"/>
  <c r="O22" i="10"/>
  <c r="I22" i="10"/>
  <c r="G22" i="10"/>
  <c r="D22" i="10"/>
  <c r="C22" i="10"/>
  <c r="B22" i="10"/>
  <c r="O21" i="10"/>
  <c r="I21" i="10"/>
  <c r="G21" i="10"/>
  <c r="D21" i="10"/>
  <c r="C21" i="10"/>
  <c r="B21" i="10"/>
  <c r="O20" i="10"/>
  <c r="I20" i="10"/>
  <c r="G20" i="10"/>
  <c r="D20" i="10"/>
  <c r="C20" i="10"/>
  <c r="B20" i="10"/>
  <c r="O19" i="10"/>
  <c r="I19" i="10"/>
  <c r="G19" i="10"/>
  <c r="D19" i="10"/>
  <c r="C19" i="10"/>
  <c r="B19" i="10"/>
  <c r="O18" i="10"/>
  <c r="I18" i="10"/>
  <c r="G18" i="10"/>
  <c r="D18" i="10"/>
  <c r="C18" i="10"/>
  <c r="B18" i="10"/>
  <c r="O17" i="10"/>
  <c r="I17" i="10"/>
  <c r="H17" i="10"/>
  <c r="G17" i="10"/>
  <c r="D17" i="10"/>
  <c r="C17" i="10"/>
  <c r="B17" i="10"/>
  <c r="O16" i="10"/>
  <c r="I16" i="10"/>
  <c r="H16" i="10"/>
  <c r="G16" i="10"/>
  <c r="D16" i="10"/>
  <c r="C16" i="10"/>
  <c r="B16" i="10"/>
  <c r="O15" i="10"/>
  <c r="I15" i="10"/>
  <c r="H15" i="10"/>
  <c r="G15" i="10"/>
  <c r="D15" i="10"/>
  <c r="C15" i="10"/>
  <c r="B15" i="10"/>
  <c r="O14" i="10"/>
  <c r="I14" i="10"/>
  <c r="H14" i="10"/>
  <c r="G14" i="10"/>
  <c r="D14" i="10"/>
  <c r="C14" i="10"/>
  <c r="B14" i="10"/>
  <c r="O13" i="10"/>
  <c r="I13" i="10"/>
  <c r="H13" i="10"/>
  <c r="G13" i="10"/>
  <c r="D13" i="10"/>
  <c r="C13" i="10"/>
  <c r="B13" i="10"/>
  <c r="O12" i="10"/>
  <c r="H35" i="10" s="1"/>
  <c r="N12" i="10"/>
  <c r="L35" i="10" s="1"/>
  <c r="N11" i="10"/>
  <c r="G11" i="10"/>
  <c r="L8" i="10"/>
  <c r="L7" i="10"/>
  <c r="O43" i="9"/>
  <c r="P42" i="9"/>
  <c r="O42" i="9"/>
  <c r="P41" i="9"/>
  <c r="O41" i="9"/>
  <c r="P40" i="9"/>
  <c r="O40" i="9"/>
  <c r="C39" i="9"/>
  <c r="N38" i="9"/>
  <c r="E38" i="9"/>
  <c r="J37" i="9"/>
  <c r="H26" i="9"/>
  <c r="I25" i="9"/>
  <c r="H24" i="9"/>
  <c r="G24" i="9"/>
  <c r="I23" i="9"/>
  <c r="H22" i="9"/>
  <c r="G22" i="9"/>
  <c r="I21" i="9"/>
  <c r="H20" i="9"/>
  <c r="G20" i="9"/>
  <c r="I19" i="9"/>
  <c r="H18" i="9"/>
  <c r="G18" i="9"/>
  <c r="I17" i="9"/>
  <c r="H16" i="9"/>
  <c r="G16" i="9"/>
  <c r="L15" i="9"/>
  <c r="I15" i="9"/>
  <c r="H15" i="9"/>
  <c r="H14" i="9"/>
  <c r="G14" i="9"/>
  <c r="L13" i="9"/>
  <c r="I13" i="9"/>
  <c r="H13" i="9"/>
  <c r="O12" i="9"/>
  <c r="N12" i="9"/>
  <c r="N11" i="9"/>
  <c r="L11" i="9"/>
  <c r="G11" i="9"/>
  <c r="L8" i="9"/>
  <c r="L7" i="9"/>
  <c r="C7" i="9"/>
  <c r="F37" i="8"/>
  <c r="B37" i="8"/>
  <c r="P29" i="8"/>
  <c r="L28" i="8"/>
  <c r="K28" i="8"/>
  <c r="C28" i="8"/>
  <c r="L22" i="8"/>
  <c r="E22" i="8"/>
  <c r="G28" i="8" s="1"/>
  <c r="H17" i="8"/>
  <c r="D17" i="8"/>
  <c r="K16" i="8"/>
  <c r="H16" i="8"/>
  <c r="D16" i="8"/>
  <c r="H15" i="8"/>
  <c r="D15" i="8"/>
  <c r="H14" i="8"/>
  <c r="K14" i="8" s="1"/>
  <c r="D14" i="8"/>
  <c r="H13" i="8"/>
  <c r="D13" i="8"/>
  <c r="H12" i="8"/>
  <c r="K12" i="8" s="1"/>
  <c r="D12" i="8"/>
  <c r="L7" i="8"/>
  <c r="F37" i="7"/>
  <c r="B37" i="7"/>
  <c r="P32" i="7"/>
  <c r="L28" i="7"/>
  <c r="G28" i="7"/>
  <c r="D28" i="7"/>
  <c r="C28" i="7"/>
  <c r="L22" i="7"/>
  <c r="E22" i="7"/>
  <c r="K28" i="7" s="1"/>
  <c r="I18" i="7"/>
  <c r="I13" i="7" s="1"/>
  <c r="I17" i="7"/>
  <c r="H17" i="7"/>
  <c r="D17" i="7"/>
  <c r="H16" i="7"/>
  <c r="K16" i="7" s="1"/>
  <c r="D16" i="7"/>
  <c r="H15" i="7"/>
  <c r="D15" i="7"/>
  <c r="H14" i="7"/>
  <c r="K14" i="7" s="1"/>
  <c r="D14" i="7"/>
  <c r="H13" i="7"/>
  <c r="D13" i="7"/>
  <c r="K12" i="7"/>
  <c r="H12" i="7"/>
  <c r="D12" i="7"/>
  <c r="L7" i="7"/>
  <c r="D7" i="7"/>
  <c r="B28" i="6"/>
  <c r="B26" i="6"/>
  <c r="J24" i="6"/>
  <c r="F24" i="6"/>
  <c r="E24" i="6"/>
  <c r="D24" i="6"/>
  <c r="C24" i="6"/>
  <c r="J23" i="6"/>
  <c r="F23" i="6"/>
  <c r="E23" i="6"/>
  <c r="D23" i="6"/>
  <c r="C23" i="6"/>
  <c r="J22" i="6"/>
  <c r="F22" i="6"/>
  <c r="E22" i="6"/>
  <c r="D22" i="6"/>
  <c r="C22" i="6"/>
  <c r="J21" i="6"/>
  <c r="F21" i="6"/>
  <c r="E21" i="6"/>
  <c r="D21" i="6"/>
  <c r="C21" i="6"/>
  <c r="J20" i="6"/>
  <c r="F20" i="6"/>
  <c r="E20" i="6"/>
  <c r="D20" i="6"/>
  <c r="C20" i="6"/>
  <c r="J19" i="6"/>
  <c r="F19" i="6"/>
  <c r="E19" i="6"/>
  <c r="D19" i="6"/>
  <c r="C19" i="6"/>
  <c r="G17" i="6"/>
  <c r="C17" i="6"/>
  <c r="G15" i="6"/>
  <c r="D15" i="6"/>
  <c r="G14" i="6"/>
  <c r="D14" i="6"/>
  <c r="G13" i="6"/>
  <c r="D13" i="6"/>
  <c r="G12" i="6"/>
  <c r="D12" i="6"/>
  <c r="G11" i="6"/>
  <c r="D11" i="6"/>
  <c r="G10" i="6"/>
  <c r="D10" i="6"/>
  <c r="D9" i="6"/>
  <c r="J7" i="6"/>
  <c r="F7" i="6"/>
  <c r="C7" i="6"/>
  <c r="J6" i="6"/>
  <c r="F6" i="6"/>
  <c r="A8" i="5"/>
  <c r="B8" i="5" s="1"/>
  <c r="C8" i="5" s="1"/>
  <c r="D8" i="5" s="1"/>
  <c r="E8" i="5" s="1"/>
  <c r="A7" i="5"/>
  <c r="B7" i="5" s="1"/>
  <c r="C7" i="5" s="1"/>
  <c r="D7" i="5" s="1"/>
  <c r="E7" i="5" s="1"/>
  <c r="A6" i="5"/>
  <c r="B6" i="5" s="1"/>
  <c r="C6" i="5" s="1"/>
  <c r="D6" i="5" s="1"/>
  <c r="E6" i="5" s="1"/>
  <c r="A5" i="5"/>
  <c r="B5" i="5" s="1"/>
  <c r="C5" i="5" s="1"/>
  <c r="D5" i="5" s="1"/>
  <c r="E5" i="5" s="1"/>
  <c r="E4" i="5"/>
  <c r="D4" i="5"/>
  <c r="C4" i="5"/>
  <c r="B4" i="5"/>
  <c r="A4" i="5"/>
  <c r="B3" i="5"/>
  <c r="C3" i="5" s="1"/>
  <c r="D3" i="5" s="1"/>
  <c r="E3" i="5" s="1"/>
  <c r="A3" i="5"/>
  <c r="H72" i="4"/>
  <c r="F72" i="4"/>
  <c r="I71" i="4"/>
  <c r="I70" i="4"/>
  <c r="I69" i="4"/>
  <c r="I72" i="4" s="1"/>
  <c r="I66" i="4"/>
  <c r="H64" i="4"/>
  <c r="F64" i="4"/>
  <c r="F65" i="4" s="1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H18" i="4"/>
  <c r="L11" i="10" s="1"/>
  <c r="H16" i="4"/>
  <c r="J37" i="10" s="1"/>
  <c r="G16" i="4"/>
  <c r="G12" i="11" s="1"/>
  <c r="F16" i="4"/>
  <c r="I15" i="4"/>
  <c r="I14" i="4"/>
  <c r="I13" i="4"/>
  <c r="I16" i="4" s="1"/>
  <c r="G28" i="11" s="1"/>
  <c r="H10" i="4"/>
  <c r="P43" i="9" s="1"/>
  <c r="J38" i="9" s="1"/>
  <c r="G10" i="4"/>
  <c r="G11" i="11" s="1"/>
  <c r="F10" i="4"/>
  <c r="I9" i="4"/>
  <c r="I8" i="4"/>
  <c r="I7" i="4"/>
  <c r="I10" i="4" s="1"/>
  <c r="G29" i="11" s="1"/>
  <c r="D72" i="3"/>
  <c r="E67" i="3"/>
  <c r="D67" i="3"/>
  <c r="D66" i="3"/>
  <c r="E65" i="3"/>
  <c r="E64" i="3"/>
  <c r="H51" i="12" s="1"/>
  <c r="D57" i="3"/>
  <c r="D33" i="8" s="1"/>
  <c r="E51" i="3"/>
  <c r="D51" i="3"/>
  <c r="E50" i="3"/>
  <c r="I28" i="7" s="1"/>
  <c r="D50" i="3"/>
  <c r="I28" i="8" s="1"/>
  <c r="E49" i="3"/>
  <c r="D49" i="3"/>
  <c r="E48" i="3"/>
  <c r="I23" i="7" s="1"/>
  <c r="D48" i="3"/>
  <c r="P31" i="8" s="1"/>
  <c r="E47" i="3"/>
  <c r="D47" i="3"/>
  <c r="G26" i="3"/>
  <c r="E20" i="3"/>
  <c r="F14" i="7" s="1"/>
  <c r="D20" i="3"/>
  <c r="E17" i="3"/>
  <c r="D17" i="3"/>
  <c r="F16" i="8" s="1"/>
  <c r="E14" i="3"/>
  <c r="E21" i="3" s="1"/>
  <c r="D14" i="3"/>
  <c r="E9" i="3"/>
  <c r="D9" i="3"/>
  <c r="D3" i="3"/>
  <c r="D7" i="8" s="1"/>
  <c r="K21" i="2"/>
  <c r="K18" i="2"/>
  <c r="L19" i="2" s="1"/>
  <c r="M19" i="2" s="1"/>
  <c r="M17" i="2"/>
  <c r="L17" i="2"/>
  <c r="K16" i="2"/>
  <c r="H14" i="2"/>
  <c r="I9" i="2" s="1"/>
  <c r="H21" i="6" s="1"/>
  <c r="C14" i="2"/>
  <c r="E13" i="2"/>
  <c r="G30" i="11" s="1"/>
  <c r="S12" i="2"/>
  <c r="R12" i="2"/>
  <c r="Q12" i="2"/>
  <c r="K12" i="2"/>
  <c r="J12" i="2"/>
  <c r="H12" i="2"/>
  <c r="Q11" i="2"/>
  <c r="P11" i="2"/>
  <c r="O11" i="2"/>
  <c r="H11" i="2"/>
  <c r="O10" i="2"/>
  <c r="N10" i="2"/>
  <c r="M10" i="2"/>
  <c r="H10" i="2"/>
  <c r="T9" i="2"/>
  <c r="S9" i="2"/>
  <c r="M9" i="2"/>
  <c r="L9" i="2"/>
  <c r="K9" i="2"/>
  <c r="S8" i="2"/>
  <c r="R8" i="2"/>
  <c r="Q8" i="2"/>
  <c r="K8" i="2"/>
  <c r="J8" i="2"/>
  <c r="H8" i="2"/>
  <c r="U7" i="2"/>
  <c r="K5" i="2"/>
  <c r="K20" i="2" s="1"/>
  <c r="L21" i="2" s="1"/>
  <c r="M21" i="2" s="1"/>
  <c r="E28" i="3" l="1"/>
  <c r="E27" i="3"/>
  <c r="E26" i="3"/>
  <c r="L12" i="7" s="1"/>
  <c r="F18" i="7"/>
  <c r="D14" i="11"/>
  <c r="H60" i="12"/>
  <c r="P8" i="2"/>
  <c r="J9" i="2"/>
  <c r="R9" i="2"/>
  <c r="L10" i="2"/>
  <c r="T10" i="2"/>
  <c r="N11" i="2"/>
  <c r="P12" i="2"/>
  <c r="D12" i="11"/>
  <c r="H54" i="12"/>
  <c r="P31" i="7"/>
  <c r="H17" i="9"/>
  <c r="H19" i="9"/>
  <c r="H21" i="9"/>
  <c r="H23" i="9"/>
  <c r="H25" i="9"/>
  <c r="H33" i="9"/>
  <c r="H35" i="9"/>
  <c r="F14" i="8"/>
  <c r="F12" i="8"/>
  <c r="L17" i="9"/>
  <c r="L19" i="9"/>
  <c r="L21" i="9"/>
  <c r="L23" i="9"/>
  <c r="L25" i="9"/>
  <c r="L33" i="9"/>
  <c r="L35" i="9"/>
  <c r="C13" i="11"/>
  <c r="F57" i="12"/>
  <c r="F12" i="7"/>
  <c r="F16" i="7"/>
  <c r="I15" i="7"/>
  <c r="G26" i="9"/>
  <c r="G28" i="9"/>
  <c r="G32" i="9"/>
  <c r="I12" i="2"/>
  <c r="H24" i="6" s="1"/>
  <c r="I64" i="4"/>
  <c r="I65" i="4" s="1"/>
  <c r="H65" i="4" s="1"/>
  <c r="I8" i="2"/>
  <c r="H20" i="6" s="1"/>
  <c r="G7" i="10"/>
  <c r="H8" i="12"/>
  <c r="T8" i="2"/>
  <c r="P10" i="2"/>
  <c r="R11" i="2"/>
  <c r="L12" i="2"/>
  <c r="M8" i="2"/>
  <c r="Q10" i="2"/>
  <c r="I16" i="9"/>
  <c r="I20" i="9"/>
  <c r="I24" i="9"/>
  <c r="I28" i="9"/>
  <c r="E57" i="3"/>
  <c r="P9" i="2"/>
  <c r="I11" i="2"/>
  <c r="H23" i="6" s="1"/>
  <c r="C14" i="11"/>
  <c r="F60" i="12"/>
  <c r="L8" i="2"/>
  <c r="N9" i="2"/>
  <c r="J11" i="2"/>
  <c r="T12" i="2"/>
  <c r="I23" i="8"/>
  <c r="U8" i="2"/>
  <c r="U9" i="2" s="1"/>
  <c r="U10" i="2" s="1"/>
  <c r="U11" i="2" s="1"/>
  <c r="U12" i="2" s="1"/>
  <c r="O9" i="2"/>
  <c r="I10" i="2"/>
  <c r="H22" i="6" s="1"/>
  <c r="K11" i="2"/>
  <c r="S11" i="2"/>
  <c r="M12" i="2"/>
  <c r="K19" i="2"/>
  <c r="L20" i="2" s="1"/>
  <c r="M20" i="2" s="1"/>
  <c r="E37" i="10"/>
  <c r="E37" i="9"/>
  <c r="E36" i="9"/>
  <c r="E36" i="10"/>
  <c r="C35" i="9"/>
  <c r="C34" i="9"/>
  <c r="C33" i="9"/>
  <c r="C32" i="9"/>
  <c r="C31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B35" i="9"/>
  <c r="B33" i="9"/>
  <c r="B32" i="9"/>
  <c r="B31" i="9"/>
  <c r="B30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O35" i="9"/>
  <c r="I35" i="9" s="1"/>
  <c r="O34" i="9"/>
  <c r="H34" i="9" s="1"/>
  <c r="O33" i="9"/>
  <c r="I33" i="9" s="1"/>
  <c r="O32" i="9"/>
  <c r="H32" i="9" s="1"/>
  <c r="O31" i="9"/>
  <c r="I31" i="9" s="1"/>
  <c r="O30" i="9"/>
  <c r="H30" i="9" s="1"/>
  <c r="O29" i="9"/>
  <c r="I29" i="9" s="1"/>
  <c r="O28" i="9"/>
  <c r="H28" i="9" s="1"/>
  <c r="O27" i="9"/>
  <c r="I27" i="9" s="1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D35" i="9"/>
  <c r="D33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I14" i="9"/>
  <c r="I18" i="9"/>
  <c r="I22" i="9"/>
  <c r="I26" i="9"/>
  <c r="I34" i="9"/>
  <c r="N8" i="2"/>
  <c r="H9" i="2"/>
  <c r="J10" i="2"/>
  <c r="R10" i="2"/>
  <c r="L11" i="2"/>
  <c r="T11" i="2"/>
  <c r="N12" i="2"/>
  <c r="W12" i="2"/>
  <c r="P29" i="7"/>
  <c r="G27" i="3"/>
  <c r="I18" i="8"/>
  <c r="D21" i="3"/>
  <c r="P32" i="8"/>
  <c r="D28" i="8"/>
  <c r="P33" i="8"/>
  <c r="G7" i="9"/>
  <c r="L14" i="9"/>
  <c r="L16" i="9"/>
  <c r="L18" i="9"/>
  <c r="L20" i="9"/>
  <c r="L22" i="9"/>
  <c r="L24" i="9"/>
  <c r="L26" i="9"/>
  <c r="L28" i="9"/>
  <c r="L30" i="9"/>
  <c r="L32" i="9"/>
  <c r="L34" i="9"/>
  <c r="O8" i="2"/>
  <c r="Q9" i="2"/>
  <c r="K10" i="2"/>
  <c r="S10" i="2"/>
  <c r="M11" i="2"/>
  <c r="O12" i="2"/>
  <c r="C13" i="2"/>
  <c r="C6" i="6" s="1"/>
  <c r="K17" i="2"/>
  <c r="L18" i="2" s="1"/>
  <c r="M18" i="2" s="1"/>
  <c r="G28" i="3"/>
  <c r="D65" i="3"/>
  <c r="O43" i="10"/>
  <c r="E38" i="10" s="1"/>
  <c r="D64" i="3"/>
  <c r="G13" i="9"/>
  <c r="G15" i="9"/>
  <c r="G17" i="9"/>
  <c r="G19" i="9"/>
  <c r="G21" i="9"/>
  <c r="G23" i="9"/>
  <c r="G25" i="9"/>
  <c r="G27" i="9"/>
  <c r="G31" i="9"/>
  <c r="G33" i="9"/>
  <c r="G35" i="9"/>
  <c r="P43" i="10"/>
  <c r="J38" i="10" s="1"/>
  <c r="C7" i="11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D8" i="12"/>
  <c r="C7" i="10"/>
  <c r="D11" i="1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G30" i="9" l="1"/>
  <c r="I17" i="8"/>
  <c r="I13" i="8"/>
  <c r="I15" i="8"/>
  <c r="B29" i="9"/>
  <c r="C30" i="9"/>
  <c r="G34" i="9"/>
  <c r="I12" i="7"/>
  <c r="I16" i="7"/>
  <c r="I14" i="7"/>
  <c r="D29" i="9"/>
  <c r="D68" i="3"/>
  <c r="F51" i="12"/>
  <c r="C11" i="11"/>
  <c r="F11" i="11" s="1"/>
  <c r="D31" i="9"/>
  <c r="E31" i="3"/>
  <c r="L14" i="7"/>
  <c r="E33" i="3"/>
  <c r="F54" i="12"/>
  <c r="C12" i="11"/>
  <c r="F12" i="11" s="1"/>
  <c r="I30" i="9"/>
  <c r="D32" i="9"/>
  <c r="B34" i="9"/>
  <c r="L31" i="9"/>
  <c r="H27" i="9"/>
  <c r="D30" i="9"/>
  <c r="H31" i="9"/>
  <c r="H30" i="12"/>
  <c r="H27" i="12"/>
  <c r="L16" i="7"/>
  <c r="H29" i="9"/>
  <c r="C28" i="9"/>
  <c r="P33" i="7"/>
  <c r="D33" i="7"/>
  <c r="J36" i="9"/>
  <c r="J36" i="10"/>
  <c r="E66" i="3"/>
  <c r="L29" i="9"/>
  <c r="E32" i="3"/>
  <c r="G29" i="9"/>
  <c r="F18" i="8"/>
  <c r="D28" i="3"/>
  <c r="D27" i="3"/>
  <c r="D26" i="3"/>
  <c r="D34" i="9"/>
  <c r="B28" i="9"/>
  <c r="C29" i="9"/>
  <c r="L27" i="9"/>
  <c r="I32" i="9"/>
  <c r="F27" i="12" l="1"/>
  <c r="F30" i="12"/>
  <c r="L16" i="8"/>
  <c r="D32" i="3"/>
  <c r="C16" i="11"/>
  <c r="F63" i="12"/>
  <c r="M16" i="7"/>
  <c r="E36" i="3"/>
  <c r="I20" i="7" s="1"/>
  <c r="B20" i="7"/>
  <c r="E12" i="11"/>
  <c r="H24" i="12"/>
  <c r="M14" i="7"/>
  <c r="E34" i="3"/>
  <c r="E11" i="11"/>
  <c r="L12" i="8"/>
  <c r="D31" i="3"/>
  <c r="L14" i="8"/>
  <c r="D33" i="3"/>
  <c r="I14" i="8"/>
  <c r="I16" i="8"/>
  <c r="I12" i="8"/>
  <c r="H57" i="12"/>
  <c r="D13" i="11"/>
  <c r="E68" i="3"/>
  <c r="H21" i="12"/>
  <c r="M12" i="7"/>
  <c r="E35" i="3"/>
  <c r="F20" i="7" s="1"/>
  <c r="E38" i="3"/>
  <c r="E37" i="3" s="1"/>
  <c r="M18" i="7" l="1"/>
  <c r="P30" i="7"/>
  <c r="E58" i="3"/>
  <c r="P35" i="7" s="1"/>
  <c r="G33" i="7" s="1"/>
  <c r="E56" i="3"/>
  <c r="I11" i="10"/>
  <c r="G5" i="4"/>
  <c r="I11" i="9"/>
  <c r="B20" i="8"/>
  <c r="M16" i="8"/>
  <c r="D29" i="3"/>
  <c r="D30" i="3" s="1"/>
  <c r="F24" i="12"/>
  <c r="D34" i="3"/>
  <c r="M14" i="8"/>
  <c r="E29" i="3"/>
  <c r="E30" i="3" s="1"/>
  <c r="E13" i="11"/>
  <c r="F13" i="11"/>
  <c r="G13" i="11"/>
  <c r="H33" i="12"/>
  <c r="E53" i="3"/>
  <c r="L20" i="7"/>
  <c r="E24" i="7" s="1"/>
  <c r="D16" i="11"/>
  <c r="E16" i="11" s="1"/>
  <c r="H63" i="12"/>
  <c r="M12" i="8"/>
  <c r="D35" i="3"/>
  <c r="F20" i="8" s="1"/>
  <c r="F21" i="12"/>
  <c r="D38" i="3"/>
  <c r="D37" i="3" s="1"/>
  <c r="D11" i="9" l="1"/>
  <c r="E5" i="4"/>
  <c r="M18" i="8"/>
  <c r="D58" i="3"/>
  <c r="P35" i="8" s="1"/>
  <c r="G33" i="8" s="1"/>
  <c r="P30" i="8"/>
  <c r="D11" i="10"/>
  <c r="D56" i="3"/>
  <c r="E23" i="7"/>
  <c r="E52" i="3"/>
  <c r="E54" i="3" s="1"/>
  <c r="L20" i="8"/>
  <c r="E24" i="8" s="1"/>
  <c r="F33" i="12"/>
  <c r="D53" i="3"/>
  <c r="E59" i="3"/>
  <c r="P34" i="7"/>
  <c r="D31" i="7" s="1"/>
  <c r="D36" i="3"/>
  <c r="I20" i="8" s="1"/>
  <c r="F16" i="11"/>
  <c r="F34" i="7" l="1"/>
  <c r="H39" i="12"/>
  <c r="E23" i="8"/>
  <c r="D52" i="3"/>
  <c r="D54" i="3" s="1"/>
  <c r="D31" i="8"/>
  <c r="L23" i="7"/>
  <c r="E55" i="3"/>
  <c r="D59" i="3"/>
  <c r="P34" i="8"/>
  <c r="F39" i="12" l="1"/>
  <c r="F34" i="8"/>
  <c r="H36" i="12"/>
  <c r="L24" i="7"/>
  <c r="E60" i="3"/>
  <c r="L23" i="8"/>
  <c r="D55" i="3"/>
  <c r="F36" i="12" l="1"/>
  <c r="L24" i="8"/>
  <c r="D60" i="3"/>
  <c r="L34" i="7"/>
  <c r="E62" i="3"/>
  <c r="K37" i="7" l="1"/>
  <c r="H45" i="12"/>
  <c r="E19" i="11"/>
  <c r="E72" i="3"/>
  <c r="D35" i="11" s="1"/>
  <c r="E61" i="3"/>
  <c r="D62" i="3"/>
  <c r="L34" i="8"/>
  <c r="F45" i="12" l="1"/>
  <c r="E18" i="11"/>
  <c r="E70" i="3"/>
  <c r="E71" i="3" s="1"/>
  <c r="D70" i="3"/>
  <c r="D73" i="3" s="1"/>
  <c r="K37" i="8"/>
  <c r="D61" i="3"/>
  <c r="I37" i="7"/>
  <c r="H42" i="12"/>
  <c r="H66" i="12" l="1"/>
  <c r="E73" i="3"/>
  <c r="E20" i="11"/>
  <c r="E14" i="2"/>
  <c r="H7" i="2" s="1"/>
  <c r="F42" i="12"/>
  <c r="I37" i="8"/>
  <c r="H13" i="2" l="1"/>
  <c r="I7" i="2"/>
  <c r="H19" i="6" l="1"/>
  <c r="I13" i="2"/>
</calcChain>
</file>

<file path=xl/sharedStrings.xml><?xml version="1.0" encoding="utf-8"?>
<sst xmlns="http://schemas.openxmlformats.org/spreadsheetml/2006/main" count="826" uniqueCount="400">
  <si>
    <t>水尺计重工作记录单</t>
  </si>
  <si>
    <t>工作情况</t>
  </si>
  <si>
    <t>首次</t>
  </si>
  <si>
    <t>末次</t>
  </si>
  <si>
    <t>工作人员</t>
  </si>
  <si>
    <t>魏祥 郭启奎</t>
  </si>
  <si>
    <t>工作日期</t>
  </si>
  <si>
    <t>工作时间</t>
  </si>
  <si>
    <t>18:00-19:00</t>
  </si>
  <si>
    <t>10:30-11:30</t>
  </si>
  <si>
    <t>工作地点</t>
  </si>
  <si>
    <t>董家口D2</t>
  </si>
  <si>
    <t>天气情况</t>
  </si>
  <si>
    <t>晴</t>
  </si>
  <si>
    <t>浪涌情况</t>
  </si>
  <si>
    <t>微浪</t>
  </si>
  <si>
    <t>密度计编号</t>
  </si>
  <si>
    <t>10807</t>
  </si>
  <si>
    <t>密度计鉴定编号</t>
  </si>
  <si>
    <t>2018E41-20-1465272002</t>
  </si>
  <si>
    <t>异常情况</t>
  </si>
  <si>
    <t>无</t>
  </si>
  <si>
    <t>备注(第三方)</t>
  </si>
  <si>
    <t>备注(汇总单)</t>
  </si>
  <si>
    <t>本港减载，下一港江阴。</t>
  </si>
  <si>
    <t>船舶信息</t>
  </si>
  <si>
    <t>船舶名称</t>
  </si>
  <si>
    <t>MOUNT BOLIVAR</t>
  </si>
  <si>
    <r>
      <rPr>
        <sz val="10"/>
        <color theme="1"/>
        <rFont val="宋体"/>
        <family val="3"/>
        <charset val="134"/>
      </rPr>
      <t xml:space="preserve">航 </t>
    </r>
    <r>
      <rPr>
        <sz val="10"/>
        <color indexed="8"/>
        <rFont val="宋体"/>
        <family val="3"/>
        <charset val="134"/>
      </rPr>
      <t xml:space="preserve">  </t>
    </r>
    <r>
      <rPr>
        <sz val="10"/>
        <color indexed="8"/>
        <rFont val="宋体"/>
        <family val="3"/>
        <charset val="134"/>
      </rPr>
      <t>次</t>
    </r>
  </si>
  <si>
    <t>靠泊时间</t>
  </si>
  <si>
    <t>注册国家地区</t>
  </si>
  <si>
    <t>LIBERIA</t>
  </si>
  <si>
    <t>建造厂家</t>
  </si>
  <si>
    <t>IAIMABARI SHIPBUILDING CO.，LTD</t>
  </si>
  <si>
    <t>建造日期</t>
  </si>
  <si>
    <t>报检货物信息</t>
  </si>
  <si>
    <t>申请人：</t>
  </si>
  <si>
    <t>联系人/电话：</t>
  </si>
  <si>
    <t>报检单数量</t>
  </si>
  <si>
    <t>天津金鑫国际货运代理有限公司</t>
  </si>
  <si>
    <t>***/***</t>
  </si>
  <si>
    <t>序号</t>
  </si>
  <si>
    <t>报检号</t>
  </si>
  <si>
    <t>货物名称</t>
  </si>
  <si>
    <t>报检湿重(MT)</t>
  </si>
  <si>
    <t>舱位</t>
  </si>
  <si>
    <t>货物卸毕时间</t>
  </si>
  <si>
    <t>计算湿重</t>
  </si>
  <si>
    <t>鉴定湿重</t>
  </si>
  <si>
    <t>020220211000099242</t>
  </si>
  <si>
    <t>铁矿块</t>
  </si>
  <si>
    <t>1-9</t>
  </si>
  <si>
    <t>合并报检号</t>
  </si>
  <si>
    <t>合计</t>
  </si>
  <si>
    <t>合并货名</t>
  </si>
  <si>
    <t>实际</t>
  </si>
  <si>
    <t>票数</t>
  </si>
  <si>
    <t>合并货物名称</t>
  </si>
  <si>
    <t>查找合并货物名称
中有无本票货物</t>
  </si>
  <si>
    <t>水尺及排水量计算</t>
  </si>
  <si>
    <t>船舶</t>
  </si>
  <si>
    <t>船   名</t>
  </si>
  <si>
    <t>准确度</t>
  </si>
  <si>
    <r>
      <rPr>
        <sz val="10"/>
        <color indexed="8"/>
        <rFont val="宋体"/>
        <family val="3"/>
        <charset val="134"/>
      </rPr>
      <t>表载密度(</t>
    </r>
    <r>
      <rPr>
        <sz val="10"/>
        <color indexed="8"/>
        <rFont val="宋体"/>
        <family val="3"/>
        <charset val="134"/>
      </rPr>
      <t>g/cm</t>
    </r>
    <r>
      <rPr>
        <sz val="10"/>
        <color indexed="8"/>
        <rFont val="宋体"/>
        <family val="3"/>
        <charset val="134"/>
      </rPr>
      <t>³</t>
    </r>
    <r>
      <rPr>
        <sz val="10"/>
        <color indexed="8"/>
        <rFont val="宋体"/>
        <family val="3"/>
        <charset val="134"/>
      </rPr>
      <t>)</t>
    </r>
  </si>
  <si>
    <r>
      <rPr>
        <sz val="10"/>
        <color indexed="8"/>
        <rFont val="宋体"/>
        <family val="3"/>
        <charset val="134"/>
      </rPr>
      <t>型长LBP</t>
    </r>
    <r>
      <rPr>
        <sz val="10"/>
        <color indexed="8"/>
        <rFont val="宋体"/>
        <family val="3"/>
        <charset val="134"/>
      </rPr>
      <t>(m)</t>
    </r>
  </si>
  <si>
    <t>满载重量(MT)</t>
  </si>
  <si>
    <r>
      <rPr>
        <sz val="10"/>
        <color indexed="8"/>
        <rFont val="宋体"/>
        <family val="3"/>
        <charset val="134"/>
      </rPr>
      <t>轻船重量(</t>
    </r>
    <r>
      <rPr>
        <sz val="10"/>
        <color indexed="8"/>
        <rFont val="宋体"/>
        <family val="3"/>
        <charset val="134"/>
      </rPr>
      <t>MT)</t>
    </r>
  </si>
  <si>
    <t>预报船舶常数</t>
  </si>
  <si>
    <t>LBP</t>
  </si>
  <si>
    <t>吃水计算</t>
  </si>
  <si>
    <t>艏左舷(m)</t>
  </si>
  <si>
    <t>艏右舷(m)</t>
  </si>
  <si>
    <t>艏平均(m)</t>
  </si>
  <si>
    <t>舯左舷(m)</t>
  </si>
  <si>
    <t>舯右舷(m)</t>
  </si>
  <si>
    <t>舯平均(m)</t>
  </si>
  <si>
    <t>艉左舷(m)</t>
  </si>
  <si>
    <t>艉右舷(m)</t>
  </si>
  <si>
    <t>艉平均(m)</t>
  </si>
  <si>
    <t>吃水差(m)</t>
  </si>
  <si>
    <t>艏垂线距(m)</t>
  </si>
  <si>
    <t>垂线前为正</t>
  </si>
  <si>
    <t>舯垂线距(m)</t>
  </si>
  <si>
    <t>&amp;</t>
  </si>
  <si>
    <t>艉垂线距(m)</t>
  </si>
  <si>
    <t>垂线后为负</t>
  </si>
  <si>
    <t>艏校正值(m)</t>
  </si>
  <si>
    <t>舯校正值(m)</t>
  </si>
  <si>
    <t>艉校正值(m)</t>
  </si>
  <si>
    <t>纵倾校正后</t>
  </si>
  <si>
    <t>艏艉平均</t>
  </si>
  <si>
    <t>六面平均</t>
  </si>
  <si>
    <t>平均吃水(D/M)</t>
  </si>
  <si>
    <t>排水量</t>
  </si>
  <si>
    <t>港水密度(kg/L)</t>
  </si>
  <si>
    <t>查表水尺</t>
  </si>
  <si>
    <t>查表排水量</t>
  </si>
  <si>
    <t>TPC(MT/cm)</t>
  </si>
  <si>
    <t>漂心LCF(m)</t>
  </si>
  <si>
    <t>中垂线后为正</t>
  </si>
  <si>
    <t>MTC(+50)</t>
  </si>
  <si>
    <t>MTC(-50)</t>
  </si>
  <si>
    <t>查表排</t>
  </si>
  <si>
    <t>TPC</t>
  </si>
  <si>
    <t>LCF</t>
  </si>
  <si>
    <t>差额</t>
  </si>
  <si>
    <t>Y</t>
  </si>
  <si>
    <t>差额水尺(cm)</t>
  </si>
  <si>
    <t>差额排水量(MT)</t>
  </si>
  <si>
    <t>(D/M)对应排水量</t>
  </si>
  <si>
    <t>第一次修正(MT)</t>
  </si>
  <si>
    <t>DM/DZ</t>
  </si>
  <si>
    <t>第二次修正(MT)</t>
  </si>
  <si>
    <t>纵倾校正值(MT)</t>
  </si>
  <si>
    <t>纵倾校正后排水量</t>
  </si>
  <si>
    <r>
      <rPr>
        <sz val="10"/>
        <color indexed="8"/>
        <rFont val="宋体"/>
        <family val="3"/>
        <charset val="134"/>
      </rPr>
      <t>密 度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校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正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值</t>
    </r>
  </si>
  <si>
    <t>密度校正后排水量</t>
  </si>
  <si>
    <t>其他</t>
  </si>
  <si>
    <t>燃油(MT)</t>
  </si>
  <si>
    <t>淡水(MT)</t>
  </si>
  <si>
    <t>压载水(MT)</t>
  </si>
  <si>
    <t>其他物料(MT)</t>
  </si>
  <si>
    <t>合计(MT)</t>
  </si>
  <si>
    <t>货物</t>
  </si>
  <si>
    <r>
      <rPr>
        <sz val="10"/>
        <color indexed="8"/>
        <rFont val="宋体"/>
        <family val="3"/>
        <charset val="134"/>
      </rPr>
      <t>预计</t>
    </r>
    <r>
      <rPr>
        <strike/>
        <sz val="10"/>
        <color indexed="8"/>
        <rFont val="宋体"/>
        <family val="3"/>
        <charset val="134"/>
      </rPr>
      <t>装</t>
    </r>
    <r>
      <rPr>
        <sz val="10"/>
        <color indexed="8"/>
        <rFont val="宋体"/>
        <family val="3"/>
        <charset val="134"/>
      </rPr>
      <t>卸重量</t>
    </r>
  </si>
  <si>
    <t>实际装卸重量</t>
  </si>
  <si>
    <t>--</t>
  </si>
  <si>
    <t>船舶常数</t>
  </si>
  <si>
    <t>溢短重量</t>
  </si>
  <si>
    <t>船用物料计算</t>
  </si>
  <si>
    <t>吃水差</t>
  </si>
  <si>
    <t>燃油</t>
  </si>
  <si>
    <t>种类</t>
  </si>
  <si>
    <t>重量(mt)</t>
  </si>
  <si>
    <t>供应量(mt)</t>
  </si>
  <si>
    <t>消耗量</t>
  </si>
  <si>
    <t>FO</t>
  </si>
  <si>
    <t>加油数量</t>
  </si>
  <si>
    <t>DO</t>
  </si>
  <si>
    <t>LO</t>
  </si>
  <si>
    <t>淡水</t>
  </si>
  <si>
    <t>舱号</t>
  </si>
  <si>
    <t>FW P</t>
  </si>
  <si>
    <t>加水数量</t>
  </si>
  <si>
    <t>FW S</t>
  </si>
  <si>
    <t>压载水</t>
  </si>
  <si>
    <t>压载水密度</t>
  </si>
  <si>
    <t>注意末次压载水密度</t>
  </si>
  <si>
    <t>舱型舱号</t>
  </si>
  <si>
    <t>管高(m)</t>
  </si>
  <si>
    <t>测深(m)</t>
  </si>
  <si>
    <t>体积(m³)</t>
  </si>
  <si>
    <t>泵入体积(m³)</t>
  </si>
  <si>
    <t>FPT</t>
  </si>
  <si>
    <t>WBT 1P</t>
  </si>
  <si>
    <t>WBT 1S</t>
  </si>
  <si>
    <t>WBT 2P</t>
  </si>
  <si>
    <t>WBT 2S</t>
  </si>
  <si>
    <t>WBT 3P</t>
  </si>
  <si>
    <t>WBT 3S</t>
  </si>
  <si>
    <t>WBT 4P</t>
  </si>
  <si>
    <t>WBT 4S</t>
  </si>
  <si>
    <t>WBT 5P</t>
  </si>
  <si>
    <t>WBT 5S</t>
  </si>
  <si>
    <t>WBT 6P</t>
  </si>
  <si>
    <t>WBT 6S</t>
  </si>
  <si>
    <t>APT</t>
  </si>
  <si>
    <t>体积</t>
  </si>
  <si>
    <t>重量</t>
  </si>
  <si>
    <t>备注</t>
  </si>
  <si>
    <t>重量变化</t>
  </si>
  <si>
    <t>项目</t>
  </si>
  <si>
    <t>鉴定时间</t>
  </si>
  <si>
    <t>鉴定人员</t>
  </si>
  <si>
    <t>国内收货人</t>
  </si>
  <si>
    <t>国外发货人</t>
  </si>
  <si>
    <t>装货港（英文）</t>
  </si>
  <si>
    <t>装港计重方式</t>
  </si>
  <si>
    <t>装港第三方鉴定机构</t>
  </si>
  <si>
    <t>索赔条款</t>
  </si>
  <si>
    <t>附件1：</t>
  </si>
  <si>
    <t>船名/航次</t>
  </si>
  <si>
    <t>船 籍</t>
  </si>
  <si>
    <t>申请人</t>
  </si>
  <si>
    <t>联系人/电话</t>
  </si>
  <si>
    <t>船 龄</t>
  </si>
  <si>
    <t>工 作 情 况</t>
  </si>
  <si>
    <t>靠 泊 时 间</t>
  </si>
  <si>
    <t>————</t>
  </si>
  <si>
    <t>工 作 人 员</t>
  </si>
  <si>
    <t>工 作 日 期</t>
  </si>
  <si>
    <t>工 作 时 间</t>
  </si>
  <si>
    <t>工 作 地 点</t>
  </si>
  <si>
    <t>天 气 情 况</t>
  </si>
  <si>
    <t>涌 浪 情 况</t>
  </si>
  <si>
    <t>检验依据</t>
  </si>
  <si>
    <t xml:space="preserve"> SN/T 3023.2-2012 进出口商品重量鉴定规程 第2部分 水尺计重</t>
  </si>
  <si>
    <t>密度计检定编号</t>
  </si>
  <si>
    <t>鉴定
结果</t>
  </si>
  <si>
    <t>编号</t>
  </si>
  <si>
    <t>品名</t>
  </si>
  <si>
    <t>提单重量(公吨)</t>
  </si>
  <si>
    <t>鉴定湿重(公吨)</t>
  </si>
  <si>
    <t>完货时间</t>
  </si>
  <si>
    <t>异常情况：</t>
  </si>
  <si>
    <r>
      <rPr>
        <sz val="12"/>
        <color indexed="8"/>
        <rFont val="宋体"/>
        <family val="3"/>
        <charset val="134"/>
      </rPr>
      <t>备注：</t>
    </r>
    <r>
      <rPr>
        <sz val="9"/>
        <color indexed="8"/>
        <rFont val="宋体"/>
        <family val="3"/>
        <charset val="134"/>
      </rPr>
      <t>（若有第三方检验机构，请注明其公司名称、人员姓名、联系方式、鉴定结果）</t>
    </r>
  </si>
  <si>
    <t xml:space="preserve">   鉴定人：</t>
  </si>
  <si>
    <t xml:space="preserve">   复核人:</t>
  </si>
  <si>
    <t>2018-04-19  第1次修订                                               第 1 页  共 1 页</t>
  </si>
  <si>
    <t>附件2：</t>
  </si>
  <si>
    <t>装  前</t>
  </si>
  <si>
    <t>载</t>
  </si>
  <si>
    <r>
      <rPr>
        <sz val="15"/>
        <color indexed="8"/>
        <rFont val="黑体"/>
        <family val="3"/>
        <charset val="134"/>
      </rPr>
      <t>排水量/载重量计算单</t>
    </r>
    <r>
      <rPr>
        <sz val="12"/>
        <color indexed="8"/>
        <rFont val="黑体"/>
        <family val="3"/>
        <charset val="134"/>
      </rPr>
      <t>(公制)</t>
    </r>
  </si>
  <si>
    <t>卸  后</t>
  </si>
  <si>
    <t>船名:</t>
  </si>
  <si>
    <t>日期:</t>
  </si>
  <si>
    <t xml:space="preserve">   （一）水尺计算</t>
  </si>
  <si>
    <t>部  位</t>
  </si>
  <si>
    <t>目 测 水 尺</t>
  </si>
  <si>
    <t>平 均 水 尺</t>
  </si>
  <si>
    <t>垂线距</t>
  </si>
  <si>
    <t>艏、舯、艉校正</t>
  </si>
  <si>
    <r>
      <rPr>
        <sz val="9"/>
        <color indexed="8"/>
        <rFont val="宋体"/>
        <family val="3"/>
        <charset val="134"/>
      </rPr>
      <t xml:space="preserve">校 正 值
</t>
    </r>
    <r>
      <rPr>
        <sz val="9"/>
        <color indexed="8"/>
        <rFont val="Times New Roman"/>
        <family val="1"/>
      </rPr>
      <t>Y1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Y2)</t>
    </r>
  </si>
  <si>
    <t>校 正 后
水    尺</t>
  </si>
  <si>
    <t>实  距</t>
  </si>
  <si>
    <t>艏</t>
  </si>
  <si>
    <t>左</t>
  </si>
  <si>
    <t>´</t>
  </si>
  <si>
    <t>右</t>
  </si>
  <si>
    <t>艉</t>
  </si>
  <si>
    <t>舯</t>
  </si>
  <si>
    <t>校 正 前 吃 水 差 T</t>
  </si>
  <si>
    <t>船长LBP</t>
  </si>
  <si>
    <t>校正后吃水差T1</t>
  </si>
  <si>
    <t>船     舯
平 均 吃 水</t>
  </si>
  <si>
    <t>艏     艉
平 均 吃 水</t>
  </si>
  <si>
    <t>六     面
平 均 吃 水</t>
  </si>
  <si>
    <t>拱陷修正后平均吃水(D/M)</t>
  </si>
  <si>
    <t xml:space="preserve">   （二）相应排水量/载重量计算</t>
  </si>
  <si>
    <t>接 近 平 均 水 尺</t>
  </si>
  <si>
    <t>排水量/载重量</t>
  </si>
  <si>
    <t>加 / 减 差 额 水 尺</t>
  </si>
  <si>
    <t>T.P.C</t>
  </si>
  <si>
    <t>加/减差额排水量</t>
  </si>
  <si>
    <t>总 平 均 水 尺</t>
  </si>
  <si>
    <t>相应排水量/载重量</t>
  </si>
  <si>
    <t xml:space="preserve">   （三）纵倾排水量校正</t>
  </si>
  <si>
    <t>漂心X</t>
  </si>
  <si>
    <t>实    距</t>
  </si>
  <si>
    <r>
      <rPr>
        <sz val="9"/>
        <color indexed="8"/>
        <rFont val="宋体"/>
        <family val="3"/>
        <charset val="134"/>
      </rPr>
      <t xml:space="preserve">纵倾力矩
</t>
    </r>
    <r>
      <rPr>
        <sz val="9"/>
        <color indexed="8"/>
        <rFont val="Times New Roman"/>
        <family val="1"/>
      </rPr>
      <t>M.T.C</t>
    </r>
  </si>
  <si>
    <t>上      缘</t>
  </si>
  <si>
    <t>下     缘</t>
  </si>
  <si>
    <t>吃 水 数</t>
  </si>
  <si>
    <t>力     矩</t>
  </si>
  <si>
    <t>第一次修正</t>
  </si>
  <si>
    <t>公式1：</t>
  </si>
  <si>
    <t>(漂心在船中前仰则减，俯则加；在后仰则加，俯则减)</t>
  </si>
  <si>
    <t>T</t>
  </si>
  <si>
    <t>Z=</t>
  </si>
  <si>
    <t>m/t</t>
  </si>
  <si>
    <t>第二次修正</t>
  </si>
  <si>
    <t>公式2：公制</t>
  </si>
  <si>
    <t>常为正值</t>
  </si>
  <si>
    <t>X</t>
  </si>
  <si>
    <t>Z1=</t>
  </si>
  <si>
    <t>dm/dz</t>
  </si>
  <si>
    <t xml:space="preserve">  加/减纵倾排水量校正值:</t>
  </si>
  <si>
    <t xml:space="preserve">  纵倾校正后排水量/载重量:</t>
  </si>
  <si>
    <t>Z1</t>
  </si>
  <si>
    <t xml:space="preserve">   （四）港水密度校正</t>
  </si>
  <si>
    <t>Z2</t>
  </si>
  <si>
    <t>表  载  密  度</t>
  </si>
  <si>
    <t>实  测  密  度</t>
  </si>
  <si>
    <t>应 减 校 正 值</t>
  </si>
  <si>
    <t>密 度 校 正 后 排 水 量</t>
  </si>
  <si>
    <t>鉴定人：</t>
  </si>
  <si>
    <t>复核人：</t>
  </si>
  <si>
    <t>2018-04-19  第1次修订                                              第 1 页  共 1 页</t>
  </si>
  <si>
    <r>
      <rPr>
        <strike/>
        <sz val="9"/>
        <color indexed="8"/>
        <rFont val="宋体"/>
        <family val="3"/>
        <charset val="134"/>
      </rPr>
      <t xml:space="preserve">装 </t>
    </r>
    <r>
      <rPr>
        <sz val="9"/>
        <color indexed="8"/>
        <rFont val="宋体"/>
        <family val="3"/>
        <charset val="134"/>
      </rPr>
      <t xml:space="preserve"> 前</t>
    </r>
  </si>
  <si>
    <r>
      <rPr>
        <sz val="9"/>
        <color indexed="8"/>
        <rFont val="宋体"/>
        <family val="3"/>
        <charset val="134"/>
      </rPr>
      <t xml:space="preserve">卸 </t>
    </r>
    <r>
      <rPr>
        <strike/>
        <sz val="9"/>
        <color indexed="8"/>
        <rFont val="宋体"/>
        <family val="3"/>
        <charset val="134"/>
      </rPr>
      <t xml:space="preserve"> 后</t>
    </r>
  </si>
  <si>
    <t>:</t>
  </si>
  <si>
    <t>附件4：</t>
  </si>
  <si>
    <t>水尺计重水油舱测量计算单</t>
  </si>
  <si>
    <t>船名：</t>
  </si>
  <si>
    <t xml:space="preserve"> 货物：</t>
  </si>
  <si>
    <t xml:space="preserve"> 首次日期：</t>
  </si>
  <si>
    <t xml:space="preserve"> 末次日期：</t>
  </si>
  <si>
    <t>舱型
舱号</t>
  </si>
  <si>
    <t>首次测量情况</t>
  </si>
  <si>
    <t>末次测量情况</t>
  </si>
  <si>
    <t>密度</t>
  </si>
  <si>
    <r>
      <rPr>
        <sz val="10.5"/>
        <color indexed="8"/>
        <rFont val="宋体"/>
        <family val="3"/>
        <charset val="134"/>
      </rPr>
      <t>实测水
深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</si>
  <si>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实测管
高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</si>
  <si>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 xml:space="preserve">校正值
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</si>
  <si>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校正后
水深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</si>
  <si>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容量/</t>
    </r>
    <r>
      <rPr>
        <strike/>
        <sz val="10.5"/>
        <color indexed="8"/>
        <rFont val="宋体"/>
        <family val="3"/>
        <charset val="134"/>
      </rPr>
      <t>重量</t>
    </r>
    <r>
      <rPr>
        <sz val="10.5"/>
        <color indexed="8"/>
        <rFont val="宋体"/>
        <family val="3"/>
        <charset val="134"/>
      </rPr>
      <t xml:space="preserve">
</t>
    </r>
    <r>
      <rPr>
        <sz val="10.5"/>
        <color indexed="8"/>
        <rFont val="宋体"/>
        <family val="3"/>
        <charset val="134"/>
      </rPr>
      <t>(</t>
    </r>
    <r>
      <rPr>
        <sz val="10.5"/>
        <color indexed="8"/>
        <rFont val="Times New Roman"/>
        <family val="1"/>
      </rPr>
      <t>M³,</t>
    </r>
    <r>
      <rPr>
        <strike/>
        <sz val="10.5"/>
        <color indexed="8"/>
        <rFont val="Times New Roman"/>
        <family val="1"/>
      </rPr>
      <t xml:space="preserve"> m/t</t>
    </r>
    <r>
      <rPr>
        <sz val="10.5"/>
        <color indexed="8"/>
        <rFont val="Times New Roman"/>
        <family val="1"/>
      </rPr>
      <t>)</t>
    </r>
  </si>
  <si>
    <r>
      <rPr>
        <sz val="10.5"/>
        <color indexed="8"/>
        <rFont val="宋体"/>
        <family val="3"/>
        <charset val="134"/>
      </rPr>
      <t>容量/</t>
    </r>
    <r>
      <rPr>
        <strike/>
        <sz val="10.5"/>
        <color indexed="8"/>
        <rFont val="宋体"/>
        <family val="3"/>
        <charset val="134"/>
      </rPr>
      <t>重量</t>
    </r>
    <r>
      <rPr>
        <sz val="10.5"/>
        <color indexed="8"/>
        <rFont val="宋体"/>
        <family val="3"/>
        <charset val="134"/>
      </rPr>
      <t xml:space="preserve">
</t>
    </r>
    <r>
      <rPr>
        <sz val="10.5"/>
        <color indexed="8"/>
        <rFont val="宋体"/>
        <family val="3"/>
        <charset val="134"/>
      </rPr>
      <t>(</t>
    </r>
    <r>
      <rPr>
        <sz val="10.5"/>
        <color indexed="8"/>
        <rFont val="Times New Roman"/>
        <family val="1"/>
      </rPr>
      <t xml:space="preserve">M³, </t>
    </r>
    <r>
      <rPr>
        <strike/>
        <sz val="10.5"/>
        <color indexed="8"/>
        <rFont val="Times New Roman"/>
        <family val="1"/>
      </rPr>
      <t>m/t</t>
    </r>
    <r>
      <rPr>
        <sz val="10.5"/>
        <color indexed="8"/>
        <rFont val="Times New Roman"/>
        <family val="1"/>
      </rPr>
      <t>)</t>
    </r>
  </si>
  <si>
    <t>/</t>
  </si>
  <si>
    <t>淡  水</t>
  </si>
  <si>
    <t>燃  油</t>
  </si>
  <si>
    <t>复核人:</t>
  </si>
  <si>
    <t>2018-04-20  第1次修订                                               第 1 页  共 1 页</t>
  </si>
  <si>
    <t>2018-04-19  第1次修订                                             第 1 页  共 1 页</t>
  </si>
  <si>
    <t>附件5：</t>
  </si>
  <si>
    <t>排水量/载重量计算汇总单</t>
  </si>
  <si>
    <t>日期：</t>
  </si>
  <si>
    <t xml:space="preserve"> （五）船用物料重量</t>
  </si>
  <si>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卸船前</t>
    </r>
  </si>
  <si>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卸船后</t>
    </r>
  </si>
  <si>
    <t>变　更　重　量</t>
  </si>
  <si>
    <t>变更原因</t>
  </si>
  <si>
    <t>增加</t>
  </si>
  <si>
    <t>减少</t>
  </si>
  <si>
    <t xml:space="preserve"> 燃油</t>
  </si>
  <si>
    <t xml:space="preserve"> 淡水</t>
  </si>
  <si>
    <t xml:space="preserve"> 压舱水</t>
  </si>
  <si>
    <t xml:space="preserve"> 其他货物</t>
  </si>
  <si>
    <t xml:space="preserve"> 合计</t>
  </si>
  <si>
    <t>（六）装卸船货物重量计算</t>
  </si>
  <si>
    <t xml:space="preserve"> 首次经各项校正后的排水量/载重量</t>
  </si>
  <si>
    <t xml:space="preserve"> 末次经各项校正后的排水量/载重量</t>
  </si>
  <si>
    <r>
      <rPr>
        <sz val="12"/>
        <color indexed="8"/>
        <rFont val="宋体"/>
        <family val="3"/>
        <charset val="134"/>
      </rPr>
      <t xml:space="preserve"> 实际</t>
    </r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卸船货物重量</t>
    </r>
  </si>
  <si>
    <t xml:space="preserve"> （七）查阅船舶相关图表</t>
  </si>
  <si>
    <t xml:space="preserve"> （八）注意事项</t>
  </si>
  <si>
    <t xml:space="preserve">   静水力曲线图表</t>
  </si>
  <si>
    <t>1、货舱污水井处污水(油)：</t>
  </si>
  <si>
    <t xml:space="preserve">     没有</t>
  </si>
  <si>
    <t xml:space="preserve">        有</t>
  </si>
  <si>
    <t xml:space="preserve">   排水量表</t>
  </si>
  <si>
    <t>2、排水道积水：</t>
  </si>
  <si>
    <t xml:space="preserve">   载重量图表</t>
  </si>
  <si>
    <t>3、尾轴隧道污水(油)：</t>
  </si>
  <si>
    <t xml:space="preserve">   水油舱计量图表</t>
  </si>
  <si>
    <t>4、淡水每日消耗量(港内)：</t>
  </si>
  <si>
    <t xml:space="preserve">   各种修正表</t>
  </si>
  <si>
    <t>5、燃油每日消耗量(港内)：</t>
  </si>
  <si>
    <t>6、提单重量：</t>
  </si>
  <si>
    <t xml:space="preserve"> （九）基数摘录</t>
  </si>
  <si>
    <t xml:space="preserve"> （十）备注：</t>
  </si>
  <si>
    <t>满载排水量：</t>
  </si>
  <si>
    <t>轻载排水量：</t>
  </si>
  <si>
    <t>船舶常数(通常):</t>
  </si>
  <si>
    <t>经计算本次船舶常数：</t>
  </si>
  <si>
    <t>附件6：</t>
  </si>
  <si>
    <t>水 尺 计 重 记 录 单</t>
  </si>
  <si>
    <t>(SURVEY RECORD ON WEIGHT BY DRAFT)</t>
  </si>
  <si>
    <t>船名</t>
  </si>
  <si>
    <t>M/V:</t>
  </si>
  <si>
    <t>Commodity</t>
  </si>
  <si>
    <r>
      <rPr>
        <strike/>
        <sz val="10.5"/>
        <color indexed="8"/>
        <rFont val="宋体"/>
        <family val="3"/>
        <charset val="134"/>
      </rPr>
      <t>装</t>
    </r>
    <r>
      <rPr>
        <sz val="10.5"/>
        <color indexed="8"/>
        <rFont val="宋体"/>
        <family val="3"/>
        <charset val="134"/>
      </rPr>
      <t>/卸  船前</t>
    </r>
  </si>
  <si>
    <r>
      <rPr>
        <strike/>
        <sz val="10.5"/>
        <color indexed="8"/>
        <rFont val="宋体"/>
        <family val="3"/>
        <charset val="134"/>
      </rPr>
      <t>装</t>
    </r>
    <r>
      <rPr>
        <sz val="10.5"/>
        <color indexed="8"/>
        <rFont val="宋体"/>
        <family val="3"/>
        <charset val="134"/>
      </rPr>
      <t>/卸  船后</t>
    </r>
  </si>
  <si>
    <r>
      <rPr>
        <sz val="10.5"/>
        <color theme="1"/>
        <rFont val="宋体"/>
        <family val="3"/>
        <charset val="134"/>
      </rPr>
      <t xml:space="preserve">BEFORE </t>
    </r>
    <r>
      <rPr>
        <strike/>
        <sz val="10.5"/>
        <color indexed="8"/>
        <rFont val="宋体"/>
        <family val="3"/>
        <charset val="134"/>
      </rPr>
      <t>LOADING</t>
    </r>
    <r>
      <rPr>
        <sz val="10.5"/>
        <color indexed="8"/>
        <rFont val="宋体"/>
        <family val="3"/>
        <charset val="134"/>
      </rPr>
      <t>/DISCHARGE</t>
    </r>
  </si>
  <si>
    <r>
      <rPr>
        <sz val="10.5"/>
        <color theme="1"/>
        <rFont val="宋体"/>
        <family val="3"/>
        <charset val="134"/>
      </rPr>
      <t xml:space="preserve">AFTER </t>
    </r>
    <r>
      <rPr>
        <strike/>
        <sz val="10.5"/>
        <color indexed="8"/>
        <rFont val="宋体"/>
        <family val="3"/>
        <charset val="134"/>
      </rPr>
      <t>LOADING</t>
    </r>
    <r>
      <rPr>
        <sz val="10.5"/>
        <color indexed="8"/>
        <rFont val="宋体"/>
        <family val="3"/>
        <charset val="134"/>
      </rPr>
      <t>/DISCHARGE</t>
    </r>
  </si>
  <si>
    <t>日期</t>
  </si>
  <si>
    <t xml:space="preserve">    年   月   日</t>
  </si>
  <si>
    <t>Date:</t>
  </si>
  <si>
    <t>停泊处海水密度</t>
  </si>
  <si>
    <t>Density of seawater at the berth:</t>
  </si>
  <si>
    <t>Kg/L</t>
  </si>
  <si>
    <t>船舶吃水</t>
  </si>
  <si>
    <t>SHIP'S DRAFT:</t>
  </si>
  <si>
    <t>船 首 (校正后)</t>
  </si>
  <si>
    <t>米/m</t>
  </si>
  <si>
    <t>Fore (Corrected)</t>
  </si>
  <si>
    <t>船 尾 (校正后)</t>
  </si>
  <si>
    <t>Aft  (Corrected)</t>
  </si>
  <si>
    <t>船中左舷</t>
  </si>
  <si>
    <t>Port Midship</t>
  </si>
  <si>
    <t>船中右舷</t>
  </si>
  <si>
    <t>Starboard Midship</t>
  </si>
  <si>
    <t>平均吃水(拱陷校正后)</t>
  </si>
  <si>
    <t>吨/Tons</t>
  </si>
  <si>
    <t>CORRESPONDING DISPLACEMENT/DEADWEIGHT</t>
  </si>
  <si>
    <t>纵 倾 校 正</t>
  </si>
  <si>
    <t>Correction for Trim</t>
  </si>
  <si>
    <t>港水密度校正</t>
  </si>
  <si>
    <t>Correction for Density</t>
  </si>
  <si>
    <t>校正后排水量/载重量</t>
  </si>
  <si>
    <t>吨/Tons(A)</t>
  </si>
  <si>
    <t>吨/Tons(B)</t>
  </si>
  <si>
    <t>Corrected Displacement/Deadweight</t>
  </si>
  <si>
    <t>船用物料等重量</t>
  </si>
  <si>
    <t>QUANTITY OF SHIP'S ELEMENTS</t>
  </si>
  <si>
    <t>Bunker</t>
  </si>
  <si>
    <t>Fresh Water</t>
  </si>
  <si>
    <t>压舱水</t>
  </si>
  <si>
    <t>Ballast Water</t>
  </si>
  <si>
    <t>其他货物</t>
  </si>
  <si>
    <t>Other Commodities</t>
  </si>
  <si>
    <t>共计总重量</t>
  </si>
  <si>
    <t>吨/Tons(a)</t>
  </si>
  <si>
    <t>吨/Tons(b)</t>
  </si>
  <si>
    <t>Total Weight</t>
  </si>
  <si>
    <t>卸    货</t>
  </si>
  <si>
    <t>When discharging:(A-a)-(B-b)=</t>
  </si>
  <si>
    <t>装    货</t>
  </si>
  <si>
    <t>When loading:    (B-b)-(A-a)=</t>
  </si>
  <si>
    <t>船长/大副：</t>
  </si>
  <si>
    <t>Captain/Chief Officer:</t>
  </si>
  <si>
    <t>Surveyor: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</si>
</sst>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76" formatCode="yyyy/m/d\ h:mm;@"/>
    <numFmt numFmtId="177" formatCode="0.0000_ "/>
    <numFmt numFmtId="178" formatCode="0.0###"/>
    <numFmt numFmtId="179" formatCode="0.0_);[Red]\(0.0\)"/>
    <numFmt numFmtId="180" formatCode="0_);[Red]\(0\)"/>
    <numFmt numFmtId="181" formatCode="0.0##"/>
    <numFmt numFmtId="182" formatCode="0.0&quot; m&quot;"/>
    <numFmt numFmtId="183" formatCode="0.0##&quot; m&quot;"/>
    <numFmt numFmtId="184" formatCode="0.000###&quot; m&quot;"/>
    <numFmt numFmtId="185" formatCode="0.00_ "/>
    <numFmt numFmtId="186" formatCode="0.000&quot; m&quot;"/>
    <numFmt numFmtId="187" formatCode="0.000###"/>
    <numFmt numFmtId="188" formatCode="0.00&quot; m.mt/cm&quot;"/>
    <numFmt numFmtId="189" formatCode="0&quot; m/t&quot;"/>
    <numFmt numFmtId="190" formatCode="0.0##&quot; m/t&quot;"/>
    <numFmt numFmtId="191" formatCode="0.0&quot; m³&quot;"/>
    <numFmt numFmtId="192" formatCode="0.0&quot; cm&quot;"/>
    <numFmt numFmtId="193" formatCode="mm\-dd"/>
    <numFmt numFmtId="194" formatCode="0.0&quot; MT&quot;"/>
    <numFmt numFmtId="195" formatCode="0.0000&quot;Kg/L&quot;"/>
    <numFmt numFmtId="196" formatCode="yyyy\-mm\-dd"/>
    <numFmt numFmtId="197" formatCode="0.0&quot; m/t&quot;"/>
    <numFmt numFmtId="198" formatCode="0.00&quot; m/t&quot;"/>
    <numFmt numFmtId="199" formatCode="0_ "/>
    <numFmt numFmtId="200" formatCode="0.0_ "/>
    <numFmt numFmtId="201" formatCode="0.000_ "/>
    <numFmt numFmtId="202" formatCode="yyyy&quot; Y &quot;mm&quot; M &quot;dd&quot; D &quot;"/>
    <numFmt numFmtId="203" formatCode="0.00&quot; m&quot;"/>
    <numFmt numFmtId="204" formatCode="0.00#&quot; m&quot;"/>
    <numFmt numFmtId="205" formatCode="0.0000&quot; Kg/L&quot;"/>
    <numFmt numFmtId="206" formatCode="yyyy&quot;年&quot;mm&quot;月&quot;dd&quot;日&quot;"/>
    <numFmt numFmtId="207" formatCode="yyyy\-mm\-dd\ hh:mm"/>
  </numFmts>
  <fonts count="63">
    <font>
      <sz val="11"/>
      <color theme="1"/>
      <name val="宋体"/>
      <charset val="134"/>
      <scheme val="minor"/>
    </font>
    <font>
      <sz val="10.5"/>
      <color theme="1"/>
      <name val="方正书宋简体"/>
      <charset val="134"/>
    </font>
    <font>
      <sz val="16"/>
      <color theme="1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黑体"/>
      <family val="3"/>
      <charset val="134"/>
    </font>
    <font>
      <sz val="10.5"/>
      <color indexed="8"/>
      <name val="宋体"/>
      <family val="3"/>
      <charset val="134"/>
    </font>
    <font>
      <sz val="16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9"/>
      <name val="宋体"/>
      <family val="3"/>
      <charset val="134"/>
    </font>
    <font>
      <sz val="8.5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i/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15"/>
      <color indexed="8"/>
      <name val="黑体"/>
      <family val="3"/>
      <charset val="134"/>
    </font>
    <font>
      <sz val="9"/>
      <color indexed="8"/>
      <name val="Symbol"/>
      <charset val="2"/>
    </font>
    <font>
      <sz val="9"/>
      <name val="宋体"/>
      <family val="3"/>
      <charset val="134"/>
      <scheme val="minor"/>
    </font>
    <font>
      <strike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55"/>
      <name val="宋体"/>
      <family val="3"/>
      <charset val="134"/>
    </font>
    <font>
      <sz val="24"/>
      <color indexed="8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黑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1"/>
      <color indexed="1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20"/>
      <color theme="1"/>
      <name val="黑体"/>
      <family val="3"/>
      <charset val="134"/>
    </font>
    <font>
      <sz val="10"/>
      <color theme="0" tint="-0.249977111117893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8"/>
      <color indexed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20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8"/>
      <name val="宋体"/>
      <family val="3"/>
      <charset val="134"/>
    </font>
    <font>
      <sz val="9"/>
      <color indexed="10"/>
      <name val="宋体"/>
      <family val="3"/>
      <charset val="134"/>
    </font>
    <font>
      <sz val="18"/>
      <color indexed="8"/>
      <name val="黑体"/>
      <family val="3"/>
      <charset val="134"/>
    </font>
    <font>
      <sz val="16"/>
      <color indexed="8"/>
      <name val="宋体"/>
      <family val="3"/>
      <charset val="134"/>
    </font>
    <font>
      <sz val="18"/>
      <color indexed="8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20"/>
      <color indexed="8"/>
      <name val="黑体"/>
      <family val="3"/>
      <charset val="134"/>
    </font>
    <font>
      <sz val="18"/>
      <color theme="1"/>
      <name val="宋体"/>
      <family val="3"/>
      <charset val="134"/>
      <scheme val="minor"/>
    </font>
    <font>
      <strike/>
      <sz val="10.5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trike/>
      <sz val="12"/>
      <color indexed="8"/>
      <name val="宋体"/>
      <family val="3"/>
      <charset val="134"/>
    </font>
    <font>
      <strike/>
      <sz val="10.5"/>
      <color indexed="8"/>
      <name val="Times New Roman"/>
      <family val="1"/>
    </font>
    <font>
      <sz val="12"/>
      <color indexed="8"/>
      <name val="黑体"/>
      <family val="3"/>
      <charset val="134"/>
    </font>
    <font>
      <strike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</fills>
  <borders count="4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indexed="2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/>
      <right/>
      <top style="thin">
        <color indexed="23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 applyBorder="0">
      <alignment vertical="center"/>
    </xf>
    <xf numFmtId="0" fontId="62" fillId="0" borderId="0" applyBorder="0">
      <alignment vertical="center"/>
    </xf>
  </cellStyleXfs>
  <cellXfs count="457">
    <xf numFmtId="0" fontId="0" fillId="0" borderId="0" xfId="0">
      <alignment vertical="center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3" fillId="0" borderId="2" xfId="0" applyFont="1" applyFill="1" applyBorder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201" fontId="3" fillId="0" borderId="0" xfId="0" applyNumberFormat="1" applyFont="1" applyFill="1" applyAlignment="1" applyProtection="1">
      <alignment vertical="center"/>
      <protection hidden="1"/>
    </xf>
    <xf numFmtId="0" fontId="3" fillId="0" borderId="3" xfId="0" applyFont="1" applyFill="1" applyBorder="1" applyAlignment="1" applyProtection="1">
      <alignment vertical="center"/>
      <protection hidden="1"/>
    </xf>
    <xf numFmtId="201" fontId="3" fillId="0" borderId="3" xfId="0" applyNumberFormat="1" applyFont="1" applyFill="1" applyBorder="1" applyAlignment="1" applyProtection="1">
      <alignment vertical="center"/>
      <protection hidden="1"/>
    </xf>
    <xf numFmtId="200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right" vertical="center"/>
      <protection hidden="1"/>
    </xf>
    <xf numFmtId="0" fontId="3" fillId="0" borderId="2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Alignment="1" applyProtection="1">
      <alignment horizontal="centerContinuous" vertical="center"/>
      <protection hidden="1"/>
    </xf>
    <xf numFmtId="58" fontId="3" fillId="0" borderId="0" xfId="0" applyNumberFormat="1" applyFont="1" applyFill="1" applyAlignment="1" applyProtection="1">
      <alignment horizontal="centerContinuous" vertical="center"/>
      <protection hidden="1"/>
    </xf>
    <xf numFmtId="0" fontId="0" fillId="0" borderId="0" xfId="0" applyFill="1" applyAlignment="1" applyProtection="1">
      <alignment horizontal="centerContinuous" vertical="center"/>
      <protection hidden="1"/>
    </xf>
    <xf numFmtId="0" fontId="0" fillId="0" borderId="0" xfId="0" applyFill="1" applyProtection="1">
      <alignment vertical="center"/>
      <protection hidden="1"/>
    </xf>
    <xf numFmtId="0" fontId="5" fillId="0" borderId="0" xfId="0" applyFont="1" applyFill="1" applyAlignment="1" applyProtection="1">
      <alignment horizontal="left" vertical="center" readingOrder="1"/>
      <protection hidden="1"/>
    </xf>
    <xf numFmtId="0" fontId="6" fillId="0" borderId="0" xfId="0" applyFont="1" applyFill="1" applyAlignment="1" applyProtection="1">
      <alignment horizontal="centerContinuous" vertical="center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Protection="1">
      <alignment vertical="center"/>
      <protection hidden="1"/>
    </xf>
    <xf numFmtId="197" fontId="7" fillId="0" borderId="6" xfId="0" applyNumberFormat="1" applyFont="1" applyFill="1" applyBorder="1" applyProtection="1">
      <alignment vertical="center"/>
      <protection hidden="1"/>
    </xf>
    <xf numFmtId="0" fontId="7" fillId="0" borderId="7" xfId="0" applyFont="1" applyFill="1" applyBorder="1" applyProtection="1">
      <alignment vertical="center"/>
      <protection hidden="1"/>
    </xf>
    <xf numFmtId="0" fontId="7" fillId="0" borderId="8" xfId="0" applyFont="1" applyFill="1" applyBorder="1" applyProtection="1">
      <alignment vertical="center"/>
      <protection hidden="1"/>
    </xf>
    <xf numFmtId="197" fontId="7" fillId="0" borderId="9" xfId="0" applyNumberFormat="1" applyFont="1" applyFill="1" applyBorder="1" applyProtection="1">
      <alignment vertical="center"/>
      <protection hidden="1"/>
    </xf>
    <xf numFmtId="0" fontId="7" fillId="0" borderId="0" xfId="0" applyFont="1" applyFill="1" applyProtection="1">
      <alignment vertical="center"/>
      <protection hidden="1"/>
    </xf>
    <xf numFmtId="0" fontId="9" fillId="0" borderId="0" xfId="0" applyFont="1" applyFill="1" applyAlignment="1" applyProtection="1">
      <alignment horizontal="right" vertical="center"/>
      <protection hidden="1"/>
    </xf>
    <xf numFmtId="196" fontId="7" fillId="0" borderId="0" xfId="0" applyNumberFormat="1" applyFont="1" applyFill="1" applyProtection="1">
      <alignment vertical="center"/>
      <protection hidden="1"/>
    </xf>
    <xf numFmtId="193" fontId="7" fillId="0" borderId="0" xfId="0" applyNumberFormat="1" applyFont="1" applyFill="1" applyAlignment="1" applyProtection="1">
      <alignment horizontal="left" vertical="center"/>
      <protection hidden="1"/>
    </xf>
    <xf numFmtId="197" fontId="7" fillId="0" borderId="6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Font="1" applyFill="1" applyBorder="1" applyAlignment="1" applyProtection="1">
      <alignment vertical="center"/>
      <protection hidden="1"/>
    </xf>
    <xf numFmtId="0" fontId="7" fillId="0" borderId="11" xfId="0" applyFont="1" applyFill="1" applyBorder="1" applyAlignment="1" applyProtection="1">
      <alignment vertical="center"/>
      <protection hidden="1"/>
    </xf>
    <xf numFmtId="0" fontId="7" fillId="0" borderId="12" xfId="0" applyFont="1" applyFill="1" applyBorder="1" applyAlignment="1" applyProtection="1">
      <alignment vertical="center"/>
      <protection hidden="1"/>
    </xf>
    <xf numFmtId="0" fontId="7" fillId="0" borderId="13" xfId="0" applyFont="1" applyFill="1" applyBorder="1" applyAlignment="1" applyProtection="1">
      <alignment vertical="center" wrapText="1"/>
      <protection hidden="1"/>
    </xf>
    <xf numFmtId="0" fontId="7" fillId="0" borderId="5" xfId="0" applyFont="1" applyFill="1" applyBorder="1" applyAlignment="1" applyProtection="1">
      <alignment vertical="center" wrapText="1"/>
      <protection hidden="1"/>
    </xf>
    <xf numFmtId="0" fontId="7" fillId="0" borderId="14" xfId="0" applyFont="1" applyFill="1" applyBorder="1" applyAlignment="1" applyProtection="1">
      <alignment horizontal="right" vertical="center"/>
      <protection hidden="1"/>
    </xf>
    <xf numFmtId="197" fontId="7" fillId="0" borderId="9" xfId="0" applyNumberFormat="1" applyFont="1" applyFill="1" applyBorder="1" applyAlignment="1" applyProtection="1">
      <alignment horizontal="right" vertical="center"/>
      <protection hidden="1"/>
    </xf>
    <xf numFmtId="190" fontId="7" fillId="0" borderId="9" xfId="0" applyNumberFormat="1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Protection="1">
      <alignment vertical="center"/>
      <protection hidden="1"/>
    </xf>
    <xf numFmtId="0" fontId="11" fillId="0" borderId="0" xfId="0" applyFont="1" applyFill="1" applyProtection="1">
      <alignment vertical="center"/>
      <protection hidden="1"/>
    </xf>
    <xf numFmtId="0" fontId="12" fillId="0" borderId="0" xfId="0" applyFont="1" applyFill="1" applyProtection="1">
      <alignment vertical="center"/>
      <protection hidden="1"/>
    </xf>
    <xf numFmtId="0" fontId="11" fillId="0" borderId="0" xfId="0" applyFont="1" applyFill="1" applyAlignment="1" applyProtection="1">
      <alignment horizontal="centerContinuous" vertical="center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 shrinkToFit="1"/>
      <protection hidden="1"/>
    </xf>
    <xf numFmtId="185" fontId="5" fillId="0" borderId="6" xfId="0" applyNumberFormat="1" applyFont="1" applyFill="1" applyBorder="1" applyAlignment="1" applyProtection="1">
      <alignment vertical="center" shrinkToFit="1"/>
      <protection hidden="1"/>
    </xf>
    <xf numFmtId="0" fontId="7" fillId="0" borderId="6" xfId="0" applyFont="1" applyFill="1" applyBorder="1" applyAlignment="1" applyProtection="1">
      <alignment horizontal="center" vertical="center" shrinkToFit="1"/>
      <protection hidden="1"/>
    </xf>
    <xf numFmtId="0" fontId="7" fillId="0" borderId="7" xfId="0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Fill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195" fontId="13" fillId="0" borderId="6" xfId="0" applyNumberFormat="1" applyFont="1" applyFill="1" applyBorder="1" applyAlignment="1" applyProtection="1">
      <alignment horizontal="center" vertical="center"/>
      <protection hidden="1"/>
    </xf>
    <xf numFmtId="200" fontId="5" fillId="0" borderId="6" xfId="0" applyNumberFormat="1" applyFont="1" applyFill="1" applyBorder="1" applyAlignment="1" applyProtection="1">
      <alignment vertical="center" shrinkToFit="1"/>
      <protection hidden="1"/>
    </xf>
    <xf numFmtId="0" fontId="9" fillId="0" borderId="0" xfId="0" applyFont="1" applyFill="1" applyProtection="1">
      <alignment vertical="center"/>
      <protection hidden="1"/>
    </xf>
    <xf numFmtId="0" fontId="7" fillId="0" borderId="10" xfId="0" applyFont="1" applyFill="1" applyBorder="1" applyAlignment="1" applyProtection="1">
      <alignment horizontal="left" vertical="center"/>
      <protection hidden="1"/>
    </xf>
    <xf numFmtId="0" fontId="7" fillId="0" borderId="11" xfId="0" applyFont="1" applyFill="1" applyBorder="1" applyAlignment="1" applyProtection="1">
      <alignment horizontal="left" vertical="center"/>
      <protection hidden="1"/>
    </xf>
    <xf numFmtId="196" fontId="14" fillId="0" borderId="12" xfId="0" applyNumberFormat="1" applyFont="1" applyFill="1" applyBorder="1" applyAlignment="1" applyProtection="1">
      <alignment horizontal="left" vertical="center"/>
      <protection hidden="1"/>
    </xf>
    <xf numFmtId="0" fontId="7" fillId="0" borderId="13" xfId="0" applyFont="1" applyFill="1" applyBorder="1" applyAlignment="1" applyProtection="1">
      <alignment horizontal="left" vertical="center"/>
      <protection hidden="1"/>
    </xf>
    <xf numFmtId="0" fontId="7" fillId="0" borderId="5" xfId="0" applyFont="1" applyFill="1" applyBorder="1" applyAlignment="1" applyProtection="1">
      <alignment horizontal="left" vertical="center"/>
      <protection hidden="1"/>
    </xf>
    <xf numFmtId="196" fontId="14" fillId="0" borderId="14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Protection="1">
      <alignment vertical="center"/>
      <protection hidden="1"/>
    </xf>
    <xf numFmtId="0" fontId="16" fillId="0" borderId="0" xfId="0" applyFont="1" applyFill="1" applyProtection="1">
      <alignment vertical="center"/>
      <protection hidden="1"/>
    </xf>
    <xf numFmtId="0" fontId="17" fillId="0" borderId="0" xfId="0" applyFont="1" applyFill="1" applyAlignment="1" applyProtection="1">
      <alignment horizontal="right" vertical="center"/>
      <protection hidden="1"/>
    </xf>
    <xf numFmtId="0" fontId="17" fillId="0" borderId="6" xfId="0" applyFont="1" applyFill="1" applyBorder="1" applyAlignment="1" applyProtection="1">
      <alignment horizontal="center" vertical="center"/>
      <protection hidden="1"/>
    </xf>
    <xf numFmtId="0" fontId="16" fillId="0" borderId="18" xfId="0" applyFont="1" applyFill="1" applyBorder="1" applyAlignment="1" applyProtection="1">
      <alignment horizontal="center" vertical="center"/>
      <protection hidden="1"/>
    </xf>
    <xf numFmtId="203" fontId="17" fillId="0" borderId="19" xfId="0" applyNumberFormat="1" applyFont="1" applyFill="1" applyBorder="1" applyAlignment="1" applyProtection="1">
      <alignment vertical="center"/>
      <protection hidden="1"/>
    </xf>
    <xf numFmtId="0" fontId="17" fillId="0" borderId="7" xfId="0" applyFont="1" applyFill="1" applyBorder="1" applyAlignment="1" applyProtection="1">
      <alignment vertical="center"/>
      <protection hidden="1"/>
    </xf>
    <xf numFmtId="0" fontId="17" fillId="0" borderId="8" xfId="0" applyFont="1" applyFill="1" applyBorder="1" applyAlignment="1" applyProtection="1">
      <alignment vertical="center"/>
      <protection hidden="1"/>
    </xf>
    <xf numFmtId="0" fontId="19" fillId="0" borderId="7" xfId="0" applyFont="1" applyFill="1" applyBorder="1" applyAlignment="1" applyProtection="1">
      <alignment horizontal="right" vertical="center"/>
      <protection hidden="1"/>
    </xf>
    <xf numFmtId="0" fontId="20" fillId="0" borderId="8" xfId="0" applyFont="1" applyFill="1" applyBorder="1" applyAlignment="1" applyProtection="1">
      <alignment vertical="center"/>
      <protection hidden="1"/>
    </xf>
    <xf numFmtId="185" fontId="17" fillId="0" borderId="8" xfId="0" applyNumberFormat="1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16" fillId="0" borderId="0" xfId="0" applyFont="1" applyFill="1" applyAlignment="1" applyProtection="1">
      <alignment horizontal="centerContinuous" vertical="center"/>
      <protection hidden="1"/>
    </xf>
    <xf numFmtId="0" fontId="22" fillId="0" borderId="0" xfId="0" applyFont="1" applyFill="1" applyProtection="1">
      <alignment vertical="center"/>
      <protection hidden="1"/>
    </xf>
    <xf numFmtId="0" fontId="17" fillId="0" borderId="0" xfId="0" applyFont="1" applyFill="1" applyProtection="1">
      <alignment vertical="center"/>
      <protection hidden="1"/>
    </xf>
    <xf numFmtId="186" fontId="17" fillId="0" borderId="6" xfId="0" applyNumberFormat="1" applyFont="1" applyFill="1" applyBorder="1" applyAlignment="1" applyProtection="1">
      <alignment vertical="center"/>
      <protection hidden="1"/>
    </xf>
    <xf numFmtId="204" fontId="17" fillId="0" borderId="15" xfId="0" applyNumberFormat="1" applyFont="1" applyFill="1" applyBorder="1" applyAlignment="1" applyProtection="1">
      <alignment vertical="center" wrapText="1"/>
      <protection hidden="1"/>
    </xf>
    <xf numFmtId="183" fontId="17" fillId="0" borderId="17" xfId="0" applyNumberFormat="1" applyFont="1" applyFill="1" applyBorder="1" applyAlignment="1" applyProtection="1">
      <alignment horizontal="right" vertical="center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17" fillId="0" borderId="8" xfId="0" applyFont="1" applyFill="1" applyBorder="1" applyProtection="1">
      <alignment vertical="center"/>
      <protection hidden="1"/>
    </xf>
    <xf numFmtId="0" fontId="19" fillId="0" borderId="8" xfId="0" applyFont="1" applyFill="1" applyBorder="1" applyAlignment="1" applyProtection="1">
      <alignment horizontal="right" vertical="center"/>
      <protection hidden="1"/>
    </xf>
    <xf numFmtId="201" fontId="17" fillId="0" borderId="10" xfId="0" applyNumberFormat="1" applyFont="1" applyFill="1" applyBorder="1" applyAlignment="1" applyProtection="1">
      <alignment vertical="center" wrapText="1"/>
      <protection hidden="1"/>
    </xf>
    <xf numFmtId="185" fontId="17" fillId="0" borderId="13" xfId="0" applyNumberFormat="1" applyFont="1" applyFill="1" applyBorder="1" applyAlignment="1" applyProtection="1">
      <alignment vertical="center" wrapText="1"/>
      <protection hidden="1"/>
    </xf>
    <xf numFmtId="198" fontId="17" fillId="0" borderId="6" xfId="0" applyNumberFormat="1" applyFont="1" applyFill="1" applyBorder="1" applyProtection="1">
      <alignment vertical="center"/>
      <protection hidden="1"/>
    </xf>
    <xf numFmtId="0" fontId="20" fillId="0" borderId="8" xfId="0" applyFont="1" applyFill="1" applyBorder="1" applyAlignment="1" applyProtection="1">
      <alignment horizontal="right" vertical="center"/>
      <protection hidden="1"/>
    </xf>
    <xf numFmtId="0" fontId="17" fillId="0" borderId="9" xfId="0" applyFont="1" applyFill="1" applyBorder="1" applyAlignment="1" applyProtection="1">
      <alignment vertical="center"/>
      <protection hidden="1"/>
    </xf>
    <xf numFmtId="0" fontId="20" fillId="0" borderId="9" xfId="0" applyFont="1" applyFill="1" applyBorder="1" applyAlignment="1" applyProtection="1">
      <alignment vertical="center"/>
      <protection hidden="1"/>
    </xf>
    <xf numFmtId="0" fontId="24" fillId="0" borderId="8" xfId="0" applyFont="1" applyFill="1" applyBorder="1" applyAlignment="1" applyProtection="1">
      <alignment vertical="center"/>
      <protection hidden="1"/>
    </xf>
    <xf numFmtId="201" fontId="17" fillId="0" borderId="10" xfId="0" applyNumberFormat="1" applyFont="1" applyFill="1" applyBorder="1" applyAlignment="1" applyProtection="1">
      <alignment vertical="center" wrapText="1" shrinkToFit="1"/>
      <protection hidden="1"/>
    </xf>
    <xf numFmtId="0" fontId="24" fillId="0" borderId="8" xfId="0" applyFont="1" applyFill="1" applyBorder="1" applyAlignment="1" applyProtection="1">
      <alignment horizontal="right" vertical="center"/>
      <protection hidden="1"/>
    </xf>
    <xf numFmtId="0" fontId="17" fillId="0" borderId="8" xfId="0" applyFont="1" applyFill="1" applyBorder="1" applyAlignment="1" applyProtection="1">
      <alignment horizontal="right" vertical="center"/>
      <protection hidden="1"/>
    </xf>
    <xf numFmtId="0" fontId="24" fillId="0" borderId="9" xfId="0" applyFont="1" applyFill="1" applyBorder="1" applyAlignment="1" applyProtection="1">
      <alignment vertical="center"/>
      <protection hidden="1"/>
    </xf>
    <xf numFmtId="0" fontId="0" fillId="0" borderId="0" xfId="0" applyFont="1" applyFill="1" applyProtection="1">
      <alignment vertical="center"/>
      <protection hidden="1"/>
    </xf>
    <xf numFmtId="0" fontId="26" fillId="0" borderId="0" xfId="0" applyFont="1" applyFill="1" applyProtection="1">
      <alignment vertical="center"/>
      <protection hidden="1"/>
    </xf>
    <xf numFmtId="207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NumberFormat="1">
      <alignment vertical="center"/>
    </xf>
    <xf numFmtId="0" fontId="11" fillId="2" borderId="20" xfId="1" applyNumberFormat="1" applyFont="1" applyFill="1" applyBorder="1" applyAlignment="1" applyProtection="1">
      <alignment horizontal="center" vertical="center"/>
      <protection hidden="1"/>
    </xf>
    <xf numFmtId="0" fontId="27" fillId="2" borderId="2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1" applyNumberFormat="1" applyFont="1">
      <alignment vertical="center"/>
    </xf>
    <xf numFmtId="0" fontId="62" fillId="0" borderId="0" xfId="1" applyNumberFormat="1">
      <alignment vertical="center"/>
    </xf>
    <xf numFmtId="0" fontId="11" fillId="2" borderId="21" xfId="0" applyNumberFormat="1" applyFont="1" applyFill="1" applyBorder="1" applyAlignment="1" applyProtection="1">
      <alignment horizontal="center" vertical="center"/>
      <protection hidden="1"/>
    </xf>
    <xf numFmtId="0" fontId="11" fillId="0" borderId="21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20" xfId="0" applyNumberFormat="1" applyFont="1" applyFill="1" applyBorder="1" applyAlignment="1" applyProtection="1">
      <alignment horizontal="center" vertical="center" shrinkToFit="1"/>
      <protection hidden="1"/>
    </xf>
    <xf numFmtId="0" fontId="11" fillId="2" borderId="0" xfId="0" applyFont="1" applyFill="1" applyProtection="1">
      <alignment vertical="center"/>
      <protection hidden="1"/>
    </xf>
    <xf numFmtId="0" fontId="28" fillId="2" borderId="0" xfId="0" applyFont="1" applyFill="1" applyProtection="1">
      <alignment vertical="center"/>
      <protection hidden="1"/>
    </xf>
    <xf numFmtId="0" fontId="29" fillId="2" borderId="0" xfId="0" applyFont="1" applyFill="1" applyAlignment="1" applyProtection="1">
      <alignment horizontal="centerContinuous" vertical="center"/>
      <protection hidden="1"/>
    </xf>
    <xf numFmtId="0" fontId="30" fillId="2" borderId="0" xfId="0" applyFont="1" applyFill="1" applyAlignment="1" applyProtection="1">
      <alignment horizontal="center" vertical="center" wrapText="1"/>
      <protection hidden="1"/>
    </xf>
    <xf numFmtId="0" fontId="11" fillId="3" borderId="0" xfId="0" applyFont="1" applyFill="1" applyProtection="1">
      <alignment vertical="center"/>
      <protection hidden="1"/>
    </xf>
    <xf numFmtId="0" fontId="30" fillId="2" borderId="22" xfId="0" applyFont="1" applyFill="1" applyBorder="1" applyAlignment="1" applyProtection="1">
      <alignment horizontal="center" vertical="center"/>
      <protection hidden="1"/>
    </xf>
    <xf numFmtId="0" fontId="30" fillId="2" borderId="26" xfId="0" applyFont="1" applyFill="1" applyBorder="1" applyAlignment="1" applyProtection="1">
      <alignment horizontal="center" vertical="center"/>
      <protection hidden="1"/>
    </xf>
    <xf numFmtId="0" fontId="30" fillId="2" borderId="20" xfId="0" applyFont="1" applyFill="1" applyBorder="1" applyAlignment="1" applyProtection="1">
      <alignment horizontal="center" vertical="center" shrinkToFit="1"/>
      <protection hidden="1"/>
    </xf>
    <xf numFmtId="0" fontId="30" fillId="2" borderId="27" xfId="0" applyFont="1" applyFill="1" applyBorder="1" applyAlignment="1" applyProtection="1">
      <alignment horizontal="center" vertical="center" shrinkToFit="1"/>
      <protection hidden="1"/>
    </xf>
    <xf numFmtId="0" fontId="30" fillId="2" borderId="21" xfId="0" applyFont="1" applyFill="1" applyBorder="1" applyAlignment="1" applyProtection="1">
      <alignment horizontal="center" vertical="center" wrapText="1"/>
      <protection hidden="1"/>
    </xf>
    <xf numFmtId="0" fontId="30" fillId="0" borderId="21" xfId="0" applyFont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4" borderId="21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centerContinuous" vertical="center"/>
      <protection hidden="1"/>
    </xf>
    <xf numFmtId="0" fontId="11" fillId="2" borderId="28" xfId="0" applyFont="1" applyFill="1" applyBorder="1" applyProtection="1">
      <alignment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1" fillId="2" borderId="21" xfId="0" applyFont="1" applyFill="1" applyBorder="1" applyProtection="1">
      <alignment vertical="center"/>
      <protection hidden="1"/>
    </xf>
    <xf numFmtId="200" fontId="30" fillId="0" borderId="21" xfId="0" applyNumberFormat="1" applyFont="1" applyFill="1" applyBorder="1" applyAlignment="1" applyProtection="1">
      <alignment vertical="center" wrapText="1"/>
      <protection locked="0"/>
    </xf>
    <xf numFmtId="0" fontId="11" fillId="0" borderId="23" xfId="0" applyFont="1" applyFill="1" applyBorder="1" applyProtection="1">
      <alignment vertical="center"/>
      <protection locked="0"/>
    </xf>
    <xf numFmtId="194" fontId="32" fillId="2" borderId="21" xfId="0" applyNumberFormat="1" applyFont="1" applyFill="1" applyBorder="1" applyAlignment="1" applyProtection="1">
      <alignment vertical="center" wrapText="1"/>
      <protection hidden="1"/>
    </xf>
    <xf numFmtId="194" fontId="32" fillId="2" borderId="23" xfId="0" applyNumberFormat="1" applyFont="1" applyFill="1" applyBorder="1" applyAlignment="1" applyProtection="1">
      <alignment vertical="center" wrapText="1"/>
      <protection hidden="1"/>
    </xf>
    <xf numFmtId="0" fontId="11" fillId="3" borderId="29" xfId="0" applyFont="1" applyFill="1" applyBorder="1" applyProtection="1">
      <alignment vertical="center"/>
      <protection hidden="1"/>
    </xf>
    <xf numFmtId="0" fontId="11" fillId="2" borderId="29" xfId="0" applyFont="1" applyFill="1" applyBorder="1" applyProtection="1">
      <alignment vertical="center"/>
      <protection hidden="1"/>
    </xf>
    <xf numFmtId="0" fontId="30" fillId="2" borderId="0" xfId="0" applyFont="1" applyFill="1" applyProtection="1">
      <alignment vertical="center"/>
      <protection hidden="1"/>
    </xf>
    <xf numFmtId="0" fontId="11" fillId="2" borderId="23" xfId="0" applyFont="1" applyFill="1" applyBorder="1" applyAlignment="1" applyProtection="1">
      <alignment horizontal="center" vertical="center"/>
      <protection hidden="1"/>
    </xf>
    <xf numFmtId="194" fontId="32" fillId="2" borderId="28" xfId="0" applyNumberFormat="1" applyFont="1" applyFill="1" applyBorder="1" applyAlignment="1" applyProtection="1">
      <alignment vertical="center" wrapText="1"/>
      <protection hidden="1"/>
    </xf>
    <xf numFmtId="194" fontId="32" fillId="2" borderId="28" xfId="0" applyNumberFormat="1" applyFont="1" applyFill="1" applyBorder="1" applyAlignment="1" applyProtection="1">
      <alignment horizontal="right" vertical="center" wrapText="1"/>
      <protection hidden="1"/>
    </xf>
    <xf numFmtId="194" fontId="32" fillId="2" borderId="29" xfId="0" applyNumberFormat="1" applyFont="1" applyFill="1" applyBorder="1" applyAlignment="1" applyProtection="1">
      <alignment horizontal="right" vertical="center" wrapText="1"/>
      <protection hidden="1"/>
    </xf>
    <xf numFmtId="205" fontId="33" fillId="0" borderId="22" xfId="0" applyNumberFormat="1" applyFont="1" applyFill="1" applyBorder="1" applyAlignment="1" applyProtection="1">
      <alignment vertical="center"/>
      <protection locked="0"/>
    </xf>
    <xf numFmtId="205" fontId="33" fillId="0" borderId="21" xfId="0" applyNumberFormat="1" applyFont="1" applyFill="1" applyBorder="1" applyAlignment="1" applyProtection="1">
      <alignment vertical="center"/>
      <protection hidden="1"/>
    </xf>
    <xf numFmtId="0" fontId="30" fillId="0" borderId="21" xfId="0" applyNumberFormat="1" applyFont="1" applyFill="1" applyBorder="1" applyAlignment="1" applyProtection="1">
      <alignment vertical="center" wrapText="1"/>
      <protection locked="0"/>
    </xf>
    <xf numFmtId="200" fontId="30" fillId="4" borderId="21" xfId="0" applyNumberFormat="1" applyFont="1" applyFill="1" applyBorder="1" applyAlignment="1" applyProtection="1">
      <alignment vertical="center" wrapText="1"/>
      <protection locked="0"/>
    </xf>
    <xf numFmtId="0" fontId="30" fillId="4" borderId="21" xfId="0" applyNumberFormat="1" applyFont="1" applyFill="1" applyBorder="1" applyAlignment="1" applyProtection="1">
      <alignment vertical="center" wrapText="1"/>
      <protection locked="0"/>
    </xf>
    <xf numFmtId="191" fontId="30" fillId="2" borderId="21" xfId="0" applyNumberFormat="1" applyFont="1" applyFill="1" applyBorder="1" applyAlignment="1" applyProtection="1">
      <alignment vertical="center" wrapText="1"/>
      <protection hidden="1"/>
    </xf>
    <xf numFmtId="200" fontId="30" fillId="2" borderId="21" xfId="0" applyNumberFormat="1" applyFont="1" applyFill="1" applyBorder="1" applyAlignment="1" applyProtection="1">
      <alignment vertical="center" wrapText="1"/>
      <protection hidden="1"/>
    </xf>
    <xf numFmtId="194" fontId="15" fillId="2" borderId="0" xfId="0" applyNumberFormat="1" applyFont="1" applyFill="1" applyProtection="1">
      <alignment vertical="center"/>
      <protection hidden="1"/>
    </xf>
    <xf numFmtId="0" fontId="12" fillId="2" borderId="0" xfId="0" applyFont="1" applyFill="1" applyAlignment="1" applyProtection="1">
      <alignment horizontal="center" vertical="center" shrinkToFit="1"/>
      <protection hidden="1"/>
    </xf>
    <xf numFmtId="0" fontId="30" fillId="2" borderId="21" xfId="0" applyFont="1" applyFill="1" applyBorder="1" applyProtection="1">
      <alignment vertical="center"/>
      <protection hidden="1"/>
    </xf>
    <xf numFmtId="0" fontId="33" fillId="2" borderId="0" xfId="0" applyFont="1" applyFill="1" applyProtection="1">
      <alignment vertical="center"/>
      <protection hidden="1"/>
    </xf>
    <xf numFmtId="0" fontId="30" fillId="2" borderId="21" xfId="0" applyFont="1" applyFill="1" applyBorder="1" applyAlignment="1" applyProtection="1">
      <alignment vertical="center"/>
      <protection hidden="1"/>
    </xf>
    <xf numFmtId="49" fontId="30" fillId="2" borderId="21" xfId="0" applyNumberFormat="1" applyFont="1" applyFill="1" applyBorder="1" applyAlignment="1" applyProtection="1">
      <alignment horizontal="center" vertical="center"/>
      <protection hidden="1"/>
    </xf>
    <xf numFmtId="200" fontId="30" fillId="2" borderId="0" xfId="0" applyNumberFormat="1" applyFont="1" applyFill="1" applyProtection="1">
      <alignment vertical="center"/>
      <protection hidden="1"/>
    </xf>
    <xf numFmtId="49" fontId="30" fillId="0" borderId="21" xfId="0" applyNumberFormat="1" applyFont="1" applyFill="1" applyBorder="1" applyAlignment="1" applyProtection="1">
      <alignment vertical="center"/>
      <protection locked="0"/>
    </xf>
    <xf numFmtId="179" fontId="30" fillId="0" borderId="21" xfId="0" applyNumberFormat="1" applyFont="1" applyFill="1" applyBorder="1" applyAlignment="1" applyProtection="1">
      <alignment vertical="center" wrapText="1"/>
      <protection locked="0"/>
    </xf>
    <xf numFmtId="0" fontId="30" fillId="0" borderId="21" xfId="0" applyFont="1" applyFill="1" applyBorder="1" applyProtection="1">
      <alignment vertical="center"/>
      <protection locked="0"/>
    </xf>
    <xf numFmtId="179" fontId="11" fillId="2" borderId="21" xfId="0" applyNumberFormat="1" applyFont="1" applyFill="1" applyBorder="1" applyAlignment="1" applyProtection="1">
      <alignment vertical="center" wrapText="1"/>
      <protection hidden="1"/>
    </xf>
    <xf numFmtId="194" fontId="34" fillId="2" borderId="21" xfId="0" applyNumberFormat="1" applyFont="1" applyFill="1" applyBorder="1" applyAlignment="1" applyProtection="1">
      <alignment vertical="center" wrapText="1"/>
      <protection hidden="1"/>
    </xf>
    <xf numFmtId="0" fontId="35" fillId="2" borderId="0" xfId="0" applyFont="1" applyFill="1" applyProtection="1">
      <alignment vertical="center"/>
      <protection hidden="1"/>
    </xf>
    <xf numFmtId="0" fontId="0" fillId="5" borderId="0" xfId="0" applyFill="1" applyProtection="1">
      <alignment vertical="center"/>
      <protection hidden="1"/>
    </xf>
    <xf numFmtId="0" fontId="0" fillId="5" borderId="0" xfId="0" applyFill="1" applyAlignment="1" applyProtection="1">
      <alignment vertical="center" wrapText="1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36" fillId="5" borderId="0" xfId="0" applyFont="1" applyFill="1" applyProtection="1">
      <alignment vertical="center"/>
      <protection hidden="1"/>
    </xf>
    <xf numFmtId="0" fontId="37" fillId="5" borderId="0" xfId="0" applyFont="1" applyFill="1" applyAlignment="1" applyProtection="1">
      <alignment vertical="center" wrapText="1"/>
      <protection hidden="1"/>
    </xf>
    <xf numFmtId="0" fontId="11" fillId="5" borderId="23" xfId="0" applyFont="1" applyFill="1" applyBorder="1" applyAlignment="1" applyProtection="1">
      <alignment horizontal="center" vertical="center"/>
      <protection hidden="1"/>
    </xf>
    <xf numFmtId="0" fontId="11" fillId="5" borderId="21" xfId="0" applyFont="1" applyFill="1" applyBorder="1" applyAlignment="1" applyProtection="1">
      <alignment horizontal="center" vertical="center" wrapText="1"/>
      <protection hidden="1"/>
    </xf>
    <xf numFmtId="0" fontId="11" fillId="5" borderId="0" xfId="0" applyFont="1" applyFill="1" applyAlignment="1" applyProtection="1">
      <alignment horizontal="center" vertical="center" textRotation="255" shrinkToFit="1"/>
      <protection hidden="1"/>
    </xf>
    <xf numFmtId="0" fontId="12" fillId="5" borderId="0" xfId="0" applyFont="1" applyFill="1" applyAlignment="1" applyProtection="1">
      <alignment horizontal="center" vertical="center"/>
      <protection hidden="1"/>
    </xf>
    <xf numFmtId="0" fontId="27" fillId="0" borderId="22" xfId="0" applyNumberFormat="1" applyFont="1" applyFill="1" applyBorder="1" applyAlignment="1" applyProtection="1">
      <alignment vertical="center"/>
      <protection hidden="1"/>
    </xf>
    <xf numFmtId="0" fontId="11" fillId="5" borderId="0" xfId="0" applyFont="1" applyFill="1" applyAlignment="1" applyProtection="1">
      <alignment horizontal="center" vertical="center" textRotation="255"/>
      <protection hidden="1"/>
    </xf>
    <xf numFmtId="0" fontId="11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vertical="center" wrapText="1"/>
      <protection hidden="1"/>
    </xf>
    <xf numFmtId="0" fontId="11" fillId="5" borderId="0" xfId="0" applyFont="1" applyFill="1" applyProtection="1">
      <alignment vertical="center"/>
      <protection hidden="1"/>
    </xf>
    <xf numFmtId="0" fontId="11" fillId="5" borderId="20" xfId="0" applyFont="1" applyFill="1" applyBorder="1" applyAlignment="1" applyProtection="1">
      <alignment horizontal="center" vertical="center" wrapText="1"/>
      <protection hidden="1"/>
    </xf>
    <xf numFmtId="0" fontId="11" fillId="0" borderId="21" xfId="0" applyNumberFormat="1" applyFont="1" applyFill="1" applyBorder="1" applyAlignment="1" applyProtection="1">
      <alignment vertical="center" wrapText="1"/>
      <protection locked="0"/>
    </xf>
    <xf numFmtId="201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23" xfId="0" applyFont="1" applyFill="1" applyBorder="1" applyProtection="1">
      <alignment vertical="center"/>
      <protection hidden="1"/>
    </xf>
    <xf numFmtId="0" fontId="11" fillId="5" borderId="21" xfId="0" applyFont="1" applyFill="1" applyBorder="1" applyAlignment="1" applyProtection="1">
      <alignment vertical="center" wrapText="1"/>
      <protection hidden="1"/>
    </xf>
    <xf numFmtId="201" fontId="39" fillId="5" borderId="21" xfId="0" applyNumberFormat="1" applyFont="1" applyFill="1" applyBorder="1" applyAlignment="1" applyProtection="1">
      <alignment vertical="center" wrapText="1"/>
      <protection hidden="1"/>
    </xf>
    <xf numFmtId="201" fontId="40" fillId="5" borderId="21" xfId="0" applyNumberFormat="1" applyFont="1" applyFill="1" applyBorder="1" applyAlignment="1" applyProtection="1">
      <alignment horizontal="center" vertical="center" wrapText="1"/>
      <protection hidden="1"/>
    </xf>
    <xf numFmtId="187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23" xfId="0" applyFont="1" applyFill="1" applyBorder="1" applyAlignment="1" applyProtection="1">
      <alignment horizontal="center" vertical="center" shrinkToFit="1"/>
      <protection hidden="1"/>
    </xf>
    <xf numFmtId="201" fontId="34" fillId="5" borderId="21" xfId="0" applyNumberFormat="1" applyFont="1" applyFill="1" applyBorder="1" applyAlignment="1" applyProtection="1">
      <alignment vertical="center" wrapText="1"/>
      <protection hidden="1"/>
    </xf>
    <xf numFmtId="0" fontId="41" fillId="5" borderId="0" xfId="0" applyFont="1" applyFill="1" applyAlignment="1" applyProtection="1">
      <alignment vertical="center" wrapText="1" shrinkToFit="1"/>
      <protection hidden="1"/>
    </xf>
    <xf numFmtId="0" fontId="11" fillId="5" borderId="21" xfId="0" applyFont="1" applyFill="1" applyBorder="1" applyAlignment="1" applyProtection="1">
      <alignment horizontal="center" vertical="center"/>
      <protection hidden="1"/>
    </xf>
    <xf numFmtId="177" fontId="33" fillId="0" borderId="21" xfId="0" applyNumberFormat="1" applyFont="1" applyFill="1" applyBorder="1" applyAlignment="1" applyProtection="1">
      <alignment vertical="center" wrapText="1"/>
      <protection locked="0"/>
    </xf>
    <xf numFmtId="201" fontId="11" fillId="0" borderId="21" xfId="0" applyNumberFormat="1" applyFont="1" applyFill="1" applyBorder="1" applyAlignment="1" applyProtection="1">
      <alignment vertical="center" wrapText="1"/>
      <protection locked="0"/>
    </xf>
    <xf numFmtId="0" fontId="11" fillId="5" borderId="21" xfId="0" applyFont="1" applyFill="1" applyBorder="1" applyProtection="1">
      <alignment vertical="center"/>
      <protection hidden="1"/>
    </xf>
    <xf numFmtId="0" fontId="42" fillId="5" borderId="0" xfId="0" applyFont="1" applyFill="1" applyAlignment="1" applyProtection="1">
      <alignment horizontal="center" vertical="center"/>
      <protection hidden="1"/>
    </xf>
    <xf numFmtId="0" fontId="11" fillId="5" borderId="21" xfId="0" applyNumberFormat="1" applyFont="1" applyFill="1" applyBorder="1" applyAlignment="1" applyProtection="1">
      <alignment vertical="center" wrapText="1"/>
      <protection hidden="1"/>
    </xf>
    <xf numFmtId="0" fontId="12" fillId="5" borderId="21" xfId="0" applyFont="1" applyFill="1" applyBorder="1" applyAlignment="1" applyProtection="1">
      <alignment horizontal="center" vertical="center" shrinkToFit="1"/>
      <protection hidden="1"/>
    </xf>
    <xf numFmtId="0" fontId="12" fillId="5" borderId="21" xfId="0" applyFont="1" applyFill="1" applyBorder="1" applyAlignment="1" applyProtection="1">
      <alignment horizontal="center" vertical="center"/>
      <protection hidden="1"/>
    </xf>
    <xf numFmtId="0" fontId="11" fillId="5" borderId="21" xfId="0" applyFont="1" applyFill="1" applyBorder="1" applyAlignment="1" applyProtection="1">
      <alignment horizontal="center" vertical="center" shrinkToFit="1"/>
      <protection hidden="1"/>
    </xf>
    <xf numFmtId="200" fontId="11" fillId="5" borderId="21" xfId="0" applyNumberFormat="1" applyFont="1" applyFill="1" applyBorder="1" applyAlignment="1" applyProtection="1">
      <alignment vertical="center" wrapText="1"/>
      <protection hidden="1"/>
    </xf>
    <xf numFmtId="200" fontId="12" fillId="5" borderId="21" xfId="0" applyNumberFormat="1" applyFont="1" applyFill="1" applyBorder="1" applyAlignment="1" applyProtection="1">
      <alignment vertical="center" wrapText="1"/>
      <protection hidden="1"/>
    </xf>
    <xf numFmtId="200" fontId="34" fillId="5" borderId="21" xfId="0" applyNumberFormat="1" applyFont="1" applyFill="1" applyBorder="1" applyAlignment="1" applyProtection="1">
      <alignment vertical="center" wrapText="1"/>
      <protection hidden="1"/>
    </xf>
    <xf numFmtId="185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0" xfId="0" applyFont="1" applyFill="1" applyAlignment="1" applyProtection="1">
      <alignment vertical="center" shrinkToFit="1"/>
      <protection hidden="1"/>
    </xf>
    <xf numFmtId="0" fontId="43" fillId="5" borderId="0" xfId="0" applyFont="1" applyFill="1" applyAlignment="1" applyProtection="1">
      <alignment horizontal="center" vertical="distributed"/>
      <protection hidden="1"/>
    </xf>
    <xf numFmtId="0" fontId="43" fillId="5" borderId="0" xfId="0" applyFont="1" applyFill="1" applyAlignment="1" applyProtection="1">
      <alignment horizontal="centerContinuous" vertical="distributed"/>
      <protection hidden="1"/>
    </xf>
    <xf numFmtId="0" fontId="20" fillId="3" borderId="0" xfId="0" applyFont="1" applyFill="1" applyAlignment="1" applyProtection="1">
      <alignment horizontal="center" vertical="center"/>
      <protection hidden="1"/>
    </xf>
    <xf numFmtId="0" fontId="20" fillId="3" borderId="0" xfId="0" applyNumberFormat="1" applyFont="1" applyFill="1" applyAlignment="1" applyProtection="1">
      <alignment horizontal="center" vertical="center"/>
      <protection hidden="1"/>
    </xf>
    <xf numFmtId="0" fontId="24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horizontal="center" vertical="center" wrapText="1"/>
      <protection hidden="1"/>
    </xf>
    <xf numFmtId="0" fontId="20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vertical="center"/>
      <protection hidden="1"/>
    </xf>
    <xf numFmtId="0" fontId="20" fillId="5" borderId="0" xfId="0" applyNumberFormat="1" applyFont="1" applyFill="1" applyAlignment="1" applyProtection="1">
      <alignment horizontal="center" vertical="center"/>
      <protection hidden="1"/>
    </xf>
    <xf numFmtId="0" fontId="36" fillId="5" borderId="0" xfId="0" applyNumberFormat="1" applyFont="1" applyFill="1" applyAlignment="1" applyProtection="1">
      <alignment horizontal="center" vertical="center"/>
      <protection hidden="1"/>
    </xf>
    <xf numFmtId="0" fontId="36" fillId="5" borderId="0" xfId="0" applyFont="1" applyFill="1" applyAlignment="1" applyProtection="1">
      <alignment horizontal="center" vertical="center"/>
      <protection hidden="1"/>
    </xf>
    <xf numFmtId="0" fontId="44" fillId="5" borderId="0" xfId="0" applyFont="1" applyFill="1" applyProtection="1">
      <alignment vertical="center"/>
      <protection hidden="1"/>
    </xf>
    <xf numFmtId="0" fontId="45" fillId="5" borderId="0" xfId="0" applyFont="1" applyFill="1" applyAlignment="1" applyProtection="1">
      <alignment horizontal="left" vertical="center"/>
      <protection hidden="1"/>
    </xf>
    <xf numFmtId="0" fontId="45" fillId="5" borderId="0" xfId="0" applyFont="1" applyFill="1" applyAlignment="1" applyProtection="1">
      <alignment horizontal="center" vertical="center"/>
      <protection hidden="1"/>
    </xf>
    <xf numFmtId="0" fontId="33" fillId="5" borderId="0" xfId="0" applyFont="1" applyFill="1" applyAlignment="1" applyProtection="1">
      <alignment horizontal="center" vertical="center"/>
      <protection hidden="1"/>
    </xf>
    <xf numFmtId="0" fontId="20" fillId="5" borderId="0" xfId="0" applyFont="1" applyFill="1" applyAlignment="1" applyProtection="1">
      <alignment horizontal="left" vertical="center"/>
      <protection hidden="1"/>
    </xf>
    <xf numFmtId="0" fontId="30" fillId="5" borderId="0" xfId="0" applyFont="1" applyFill="1" applyProtection="1">
      <alignment vertical="center"/>
      <protection hidden="1"/>
    </xf>
    <xf numFmtId="0" fontId="46" fillId="5" borderId="0" xfId="0" applyFont="1" applyFill="1" applyAlignment="1" applyProtection="1">
      <alignment horizontal="center" vertical="center"/>
      <protection hidden="1"/>
    </xf>
    <xf numFmtId="0" fontId="34" fillId="5" borderId="21" xfId="0" applyFont="1" applyFill="1" applyBorder="1" applyAlignment="1" applyProtection="1">
      <alignment horizontal="center" vertical="center" shrinkToFit="1"/>
      <protection hidden="1"/>
    </xf>
    <xf numFmtId="0" fontId="11" fillId="5" borderId="26" xfId="0" applyFont="1" applyFill="1" applyBorder="1" applyAlignment="1" applyProtection="1">
      <alignment vertical="center" shrinkToFit="1"/>
      <protection hidden="1"/>
    </xf>
    <xf numFmtId="0" fontId="11" fillId="5" borderId="26" xfId="0" applyFont="1" applyFill="1" applyBorder="1" applyAlignment="1" applyProtection="1">
      <alignment vertical="center" wrapText="1"/>
      <protection hidden="1"/>
    </xf>
    <xf numFmtId="200" fontId="27" fillId="5" borderId="21" xfId="0" applyNumberFormat="1" applyFont="1" applyFill="1" applyBorder="1" applyAlignment="1" applyProtection="1">
      <alignment vertical="center" wrapText="1"/>
      <protection hidden="1"/>
    </xf>
    <xf numFmtId="200" fontId="40" fillId="5" borderId="21" xfId="0" applyNumberFormat="1" applyFont="1" applyFill="1" applyBorder="1" applyAlignment="1" applyProtection="1">
      <alignment vertical="center" wrapText="1"/>
      <protection hidden="1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0" fontId="11" fillId="2" borderId="28" xfId="0" applyFont="1" applyFill="1" applyBorder="1" applyAlignment="1" applyProtection="1">
      <alignment horizontal="right" vertical="center"/>
      <protection hidden="1"/>
    </xf>
    <xf numFmtId="0" fontId="11" fillId="2" borderId="21" xfId="1" applyFont="1" applyFill="1" applyBorder="1" applyAlignment="1" applyProtection="1">
      <alignment horizontal="center" vertical="center"/>
      <protection hidden="1"/>
    </xf>
    <xf numFmtId="0" fontId="11" fillId="2" borderId="20" xfId="1" applyFont="1" applyFill="1" applyBorder="1" applyAlignment="1" applyProtection="1">
      <alignment horizontal="center" vertical="center"/>
      <protection hidden="1"/>
    </xf>
    <xf numFmtId="49" fontId="11" fillId="0" borderId="21" xfId="1" applyNumberFormat="1" applyFont="1" applyFill="1" applyBorder="1" applyAlignment="1" applyProtection="1">
      <alignment vertical="center" shrinkToFit="1"/>
      <protection locked="0"/>
    </xf>
    <xf numFmtId="0" fontId="11" fillId="0" borderId="21" xfId="1" applyFont="1" applyFill="1" applyBorder="1" applyAlignment="1" applyProtection="1">
      <alignment horizontal="left" vertical="center"/>
      <protection locked="0"/>
    </xf>
    <xf numFmtId="0" fontId="30" fillId="2" borderId="21" xfId="0" applyFont="1" applyFill="1" applyBorder="1" applyAlignment="1" applyProtection="1">
      <alignment horizontal="center" vertical="center" shrinkToFit="1"/>
      <protection hidden="1"/>
    </xf>
    <xf numFmtId="0" fontId="11" fillId="3" borderId="21" xfId="1" applyNumberFormat="1" applyFont="1" applyFill="1" applyBorder="1" applyAlignment="1" applyProtection="1">
      <alignment vertical="center" shrinkToFit="1"/>
      <protection hidden="1"/>
    </xf>
    <xf numFmtId="0" fontId="11" fillId="2" borderId="33" xfId="0" applyFont="1" applyFill="1" applyBorder="1" applyAlignment="1" applyProtection="1">
      <alignment horizontal="center" vertical="center"/>
      <protection hidden="1"/>
    </xf>
    <xf numFmtId="0" fontId="11" fillId="3" borderId="21" xfId="1" applyFont="1" applyFill="1" applyBorder="1" applyAlignment="1" applyProtection="1">
      <alignment horizontal="left" vertical="center" shrinkToFit="1"/>
      <protection hidden="1"/>
    </xf>
    <xf numFmtId="0" fontId="11" fillId="2" borderId="2" xfId="0" applyFont="1" applyFill="1" applyBorder="1" applyAlignment="1" applyProtection="1">
      <alignment horizontal="center" vertical="center"/>
      <protection hidden="1"/>
    </xf>
    <xf numFmtId="0" fontId="48" fillId="2" borderId="0" xfId="0" applyFont="1" applyFill="1" applyAlignment="1" applyProtection="1">
      <alignment vertical="center"/>
      <protection hidden="1"/>
    </xf>
    <xf numFmtId="0" fontId="11" fillId="2" borderId="0" xfId="1" applyFont="1" applyFill="1" applyAlignment="1" applyProtection="1">
      <alignment horizontal="center" vertical="center"/>
      <protection hidden="1"/>
    </xf>
    <xf numFmtId="49" fontId="27" fillId="2" borderId="0" xfId="0" applyNumberFormat="1" applyFont="1" applyFill="1" applyAlignment="1" applyProtection="1">
      <alignment vertical="center" shrinkToFit="1"/>
      <protection hidden="1"/>
    </xf>
    <xf numFmtId="0" fontId="49" fillId="2" borderId="0" xfId="0" applyFont="1" applyFill="1" applyAlignment="1" applyProtection="1">
      <alignment vertical="center"/>
      <protection hidden="1"/>
    </xf>
    <xf numFmtId="0" fontId="47" fillId="2" borderId="0" xfId="0" applyFont="1" applyFill="1" applyAlignment="1" applyProtection="1">
      <alignment vertical="center"/>
      <protection hidden="1"/>
    </xf>
    <xf numFmtId="0" fontId="33" fillId="2" borderId="21" xfId="1" applyFont="1" applyFill="1" applyBorder="1" applyAlignment="1" applyProtection="1">
      <alignment horizontal="center" vertical="center"/>
      <protection hidden="1"/>
    </xf>
    <xf numFmtId="0" fontId="11" fillId="2" borderId="21" xfId="0" applyFont="1" applyFill="1" applyBorder="1" applyAlignment="1" applyProtection="1">
      <alignment horizontal="center" vertical="center"/>
      <protection hidden="1"/>
    </xf>
    <xf numFmtId="181" fontId="11" fillId="0" borderId="21" xfId="1" applyNumberFormat="1" applyFont="1" applyFill="1" applyBorder="1" applyProtection="1">
      <alignment vertical="center"/>
      <protection locked="0"/>
    </xf>
    <xf numFmtId="49" fontId="11" fillId="0" borderId="21" xfId="1" applyNumberFormat="1" applyFont="1" applyFill="1" applyBorder="1" applyAlignment="1" applyProtection="1">
      <alignment horizontal="center" vertical="center"/>
      <protection locked="0"/>
    </xf>
    <xf numFmtId="207" fontId="11" fillId="0" borderId="21" xfId="1" applyNumberFormat="1" applyFont="1" applyFill="1" applyBorder="1" applyAlignment="1" applyProtection="1">
      <alignment vertical="center"/>
      <protection locked="0"/>
    </xf>
    <xf numFmtId="200" fontId="11" fillId="2" borderId="22" xfId="1" applyNumberFormat="1" applyFont="1" applyFill="1" applyBorder="1" applyAlignment="1" applyProtection="1">
      <alignment vertical="center" wrapText="1"/>
      <protection hidden="1"/>
    </xf>
    <xf numFmtId="49" fontId="11" fillId="0" borderId="21" xfId="1" applyNumberFormat="1" applyFont="1" applyFill="1" applyBorder="1" applyProtection="1">
      <alignment vertical="center"/>
      <protection locked="0"/>
    </xf>
    <xf numFmtId="181" fontId="11" fillId="0" borderId="20" xfId="1" applyNumberFormat="1" applyFont="1" applyFill="1" applyBorder="1" applyProtection="1">
      <alignment vertical="center"/>
      <protection locked="0"/>
    </xf>
    <xf numFmtId="181" fontId="34" fillId="2" borderId="33" xfId="0" applyNumberFormat="1" applyFont="1" applyFill="1" applyBorder="1" applyProtection="1">
      <alignment vertical="center"/>
      <protection hidden="1"/>
    </xf>
    <xf numFmtId="0" fontId="11" fillId="2" borderId="36" xfId="0" applyFont="1" applyFill="1" applyBorder="1" applyProtection="1">
      <alignment vertical="center"/>
      <protection hidden="1"/>
    </xf>
    <xf numFmtId="200" fontId="34" fillId="2" borderId="36" xfId="0" applyNumberFormat="1" applyFont="1" applyFill="1" applyBorder="1" applyAlignment="1" applyProtection="1">
      <alignment vertical="center" wrapText="1"/>
      <protection hidden="1"/>
    </xf>
    <xf numFmtId="181" fontId="34" fillId="2" borderId="2" xfId="0" applyNumberFormat="1" applyFont="1" applyFill="1" applyBorder="1" applyProtection="1">
      <alignment vertical="center"/>
      <protection hidden="1"/>
    </xf>
    <xf numFmtId="0" fontId="11" fillId="2" borderId="33" xfId="0" applyFont="1" applyFill="1" applyBorder="1" applyProtection="1">
      <alignment vertical="center"/>
      <protection hidden="1"/>
    </xf>
    <xf numFmtId="0" fontId="11" fillId="2" borderId="33" xfId="0" applyFont="1" applyFill="1" applyBorder="1" applyAlignment="1" applyProtection="1">
      <alignment horizontal="right" vertical="center" wrapText="1"/>
      <protection hidden="1"/>
    </xf>
    <xf numFmtId="0" fontId="50" fillId="2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horizontal="center" vertical="center" shrinkToFit="1"/>
      <protection hidden="1"/>
    </xf>
    <xf numFmtId="200" fontId="11" fillId="2" borderId="37" xfId="1" applyNumberFormat="1" applyFont="1" applyFill="1" applyBorder="1" applyAlignment="1" applyProtection="1">
      <alignment vertical="center" wrapText="1"/>
      <protection hidden="1"/>
    </xf>
    <xf numFmtId="200" fontId="11" fillId="2" borderId="0" xfId="1" applyNumberFormat="1" applyFont="1" applyFill="1" applyAlignment="1" applyProtection="1">
      <alignment vertical="center" wrapText="1"/>
      <protection hidden="1"/>
    </xf>
    <xf numFmtId="200" fontId="11" fillId="2" borderId="38" xfId="1" applyNumberFormat="1" applyFont="1" applyFill="1" applyBorder="1" applyAlignment="1" applyProtection="1">
      <alignment vertical="center" wrapText="1"/>
      <protection hidden="1"/>
    </xf>
    <xf numFmtId="0" fontId="27" fillId="2" borderId="0" xfId="0" applyFont="1" applyFill="1">
      <alignment vertical="center"/>
    </xf>
    <xf numFmtId="200" fontId="11" fillId="2" borderId="39" xfId="1" applyNumberFormat="1" applyFont="1" applyFill="1" applyBorder="1" applyAlignment="1" applyProtection="1">
      <alignment vertical="center" wrapText="1"/>
      <protection hidden="1"/>
    </xf>
    <xf numFmtId="200" fontId="34" fillId="2" borderId="2" xfId="0" applyNumberFormat="1" applyFont="1" applyFill="1" applyBorder="1" applyAlignment="1" applyProtection="1">
      <alignment vertical="center" wrapText="1"/>
      <protection hidden="1"/>
    </xf>
    <xf numFmtId="0" fontId="11" fillId="2" borderId="0" xfId="0" applyFont="1" applyFill="1" applyAlignment="1" applyProtection="1">
      <alignment vertical="center" wrapText="1"/>
      <protection hidden="1"/>
    </xf>
    <xf numFmtId="0" fontId="51" fillId="2" borderId="0" xfId="0" applyFont="1" applyFill="1">
      <alignment vertical="center"/>
    </xf>
    <xf numFmtId="0" fontId="52" fillId="2" borderId="0" xfId="0" applyFont="1" applyFill="1" applyAlignment="1">
      <alignment vertical="center" wrapText="1"/>
    </xf>
    <xf numFmtId="0" fontId="27" fillId="2" borderId="0" xfId="0" applyFont="1" applyFill="1" applyProtection="1">
      <alignment vertical="center"/>
      <protection hidden="1"/>
    </xf>
    <xf numFmtId="49" fontId="27" fillId="2" borderId="0" xfId="0" applyNumberFormat="1" applyFont="1" applyFill="1">
      <alignment vertical="center"/>
    </xf>
    <xf numFmtId="0" fontId="53" fillId="2" borderId="0" xfId="0" applyFont="1" applyFill="1" applyAlignment="1" applyProtection="1">
      <alignment vertical="center"/>
      <protection hidden="1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196" fontId="11" fillId="0" borderId="21" xfId="0" applyNumberFormat="1" applyFont="1" applyFill="1" applyBorder="1" applyAlignment="1" applyProtection="1">
      <alignment horizontal="center" vertical="center"/>
      <protection locked="0"/>
    </xf>
    <xf numFmtId="49" fontId="11" fillId="0" borderId="21" xfId="0" applyNumberFormat="1" applyFont="1" applyFill="1" applyBorder="1" applyAlignment="1" applyProtection="1">
      <alignment horizontal="center" vertical="center"/>
      <protection locked="0"/>
    </xf>
    <xf numFmtId="49" fontId="1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54" fillId="2" borderId="0" xfId="0" applyFont="1" applyFill="1" applyAlignment="1" applyProtection="1">
      <alignment horizontal="center" vertical="center"/>
      <protection hidden="1"/>
    </xf>
    <xf numFmtId="0" fontId="27" fillId="2" borderId="42" xfId="0" applyFont="1" applyFill="1" applyBorder="1" applyAlignment="1" applyProtection="1">
      <alignment horizontal="center" vertical="center"/>
      <protection hidden="1"/>
    </xf>
    <xf numFmtId="0" fontId="11" fillId="2" borderId="42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right" vertical="center"/>
      <protection hidden="1"/>
    </xf>
    <xf numFmtId="10" fontId="11" fillId="2" borderId="0" xfId="1" applyNumberFormat="1" applyFont="1" applyFill="1" applyProtection="1">
      <alignment vertical="center"/>
      <protection hidden="1"/>
    </xf>
    <xf numFmtId="10" fontId="11" fillId="2" borderId="0" xfId="0" applyNumberFormat="1" applyFont="1" applyFill="1" applyAlignment="1" applyProtection="1">
      <alignment horizontal="right" vertical="center"/>
      <protection hidden="1"/>
    </xf>
    <xf numFmtId="176" fontId="11" fillId="2" borderId="0" xfId="0" applyNumberFormat="1" applyFont="1" applyFill="1" applyAlignment="1" applyProtection="1">
      <alignment vertical="center"/>
      <protection hidden="1"/>
    </xf>
    <xf numFmtId="58" fontId="11" fillId="2" borderId="0" xfId="1" applyNumberFormat="1" applyFont="1" applyFill="1" applyAlignment="1" applyProtection="1">
      <alignment horizontal="left" vertical="center"/>
      <protection hidden="1"/>
    </xf>
    <xf numFmtId="22" fontId="11" fillId="2" borderId="0" xfId="1" applyNumberFormat="1" applyFont="1" applyFill="1" applyAlignment="1" applyProtection="1">
      <alignment horizontal="left" vertical="center"/>
      <protection hidden="1"/>
    </xf>
    <xf numFmtId="200" fontId="11" fillId="2" borderId="0" xfId="1" applyNumberFormat="1" applyFont="1" applyFill="1" applyProtection="1">
      <alignment vertical="center"/>
      <protection hidden="1"/>
    </xf>
    <xf numFmtId="0" fontId="11" fillId="2" borderId="0" xfId="1" applyFont="1" applyFill="1" applyAlignment="1" applyProtection="1">
      <alignment horizontal="left" vertical="center"/>
      <protection hidden="1"/>
    </xf>
    <xf numFmtId="0" fontId="11" fillId="2" borderId="0" xfId="1" applyFont="1" applyFill="1" applyProtection="1">
      <alignment vertical="center"/>
      <protection hidden="1"/>
    </xf>
    <xf numFmtId="10" fontId="11" fillId="2" borderId="0" xfId="1" applyNumberFormat="1" applyFont="1" applyFill="1" applyAlignment="1" applyProtection="1">
      <alignment vertical="center" wrapText="1"/>
      <protection hidden="1"/>
    </xf>
    <xf numFmtId="200" fontId="11" fillId="2" borderId="0" xfId="0" applyNumberFormat="1" applyFont="1" applyFill="1" applyProtection="1">
      <alignment vertical="center"/>
      <protection hidden="1"/>
    </xf>
    <xf numFmtId="201" fontId="11" fillId="2" borderId="0" xfId="0" applyNumberFormat="1" applyFont="1" applyFill="1" applyProtection="1">
      <alignment vertical="center"/>
      <protection hidden="1"/>
    </xf>
    <xf numFmtId="200" fontId="34" fillId="5" borderId="21" xfId="0" quotePrefix="1" applyNumberFormat="1" applyFont="1" applyFill="1" applyBorder="1" applyAlignment="1" applyProtection="1">
      <alignment horizontal="center" vertical="center" wrapText="1"/>
      <protection hidden="1"/>
    </xf>
    <xf numFmtId="207" fontId="11" fillId="0" borderId="43" xfId="1" applyNumberFormat="1" applyFont="1" applyFill="1" applyBorder="1" applyAlignment="1" applyProtection="1">
      <alignment horizontal="left" vertical="center"/>
      <protection locked="0"/>
    </xf>
    <xf numFmtId="207" fontId="11" fillId="0" borderId="44" xfId="1" applyNumberFormat="1" applyFont="1" applyFill="1" applyBorder="1" applyAlignment="1" applyProtection="1">
      <alignment horizontal="left" vertical="center"/>
      <protection locked="0"/>
    </xf>
    <xf numFmtId="0" fontId="27" fillId="0" borderId="43" xfId="0" applyFont="1" applyFill="1" applyBorder="1" applyAlignment="1" applyProtection="1">
      <alignment horizontal="left" vertical="center"/>
      <protection locked="0"/>
    </xf>
    <xf numFmtId="0" fontId="27" fillId="0" borderId="44" xfId="0" applyFont="1" applyFill="1" applyBorder="1" applyAlignment="1" applyProtection="1">
      <alignment horizontal="left" vertical="center"/>
      <protection locked="0"/>
    </xf>
    <xf numFmtId="196" fontId="27" fillId="0" borderId="43" xfId="0" applyNumberFormat="1" applyFont="1" applyFill="1" applyBorder="1" applyAlignment="1" applyProtection="1">
      <alignment horizontal="left" vertical="center"/>
      <protection locked="0"/>
    </xf>
    <xf numFmtId="196" fontId="27" fillId="0" borderId="44" xfId="0" applyNumberFormat="1" applyFont="1" applyFill="1" applyBorder="1" applyAlignment="1" applyProtection="1">
      <alignment horizontal="left" vertical="center"/>
      <protection locked="0"/>
    </xf>
    <xf numFmtId="0" fontId="11" fillId="0" borderId="40" xfId="0" applyFont="1" applyFill="1" applyBorder="1" applyAlignment="1" applyProtection="1">
      <alignment horizontal="left" vertical="top" wrapText="1"/>
      <protection locked="0"/>
    </xf>
    <xf numFmtId="0" fontId="11" fillId="0" borderId="41" xfId="0" applyFont="1" applyFill="1" applyBorder="1" applyAlignment="1" applyProtection="1">
      <alignment horizontal="left" vertical="top" wrapText="1"/>
      <protection locked="0"/>
    </xf>
    <xf numFmtId="0" fontId="11" fillId="2" borderId="22" xfId="0" applyFont="1" applyFill="1" applyBorder="1" applyAlignment="1" applyProtection="1">
      <alignment horizontal="left" vertical="center"/>
      <protection hidden="1"/>
    </xf>
    <xf numFmtId="0" fontId="11" fillId="2" borderId="29" xfId="0" applyFont="1" applyFill="1" applyBorder="1" applyAlignment="1" applyProtection="1">
      <alignment horizontal="left" vertical="center"/>
      <protection hidden="1"/>
    </xf>
    <xf numFmtId="0" fontId="11" fillId="2" borderId="23" xfId="0" applyFont="1" applyFill="1" applyBorder="1" applyAlignment="1" applyProtection="1">
      <alignment horizontal="left" vertical="center"/>
      <protection hidden="1"/>
    </xf>
    <xf numFmtId="0" fontId="11" fillId="2" borderId="34" xfId="0" applyFont="1" applyFill="1" applyBorder="1" applyAlignment="1" applyProtection="1">
      <alignment horizontal="left" vertical="center"/>
      <protection hidden="1"/>
    </xf>
    <xf numFmtId="0" fontId="11" fillId="2" borderId="35" xfId="0" applyFont="1" applyFill="1" applyBorder="1" applyAlignment="1" applyProtection="1">
      <alignment horizontal="left" vertical="center"/>
      <protection hidden="1"/>
    </xf>
    <xf numFmtId="0" fontId="11" fillId="0" borderId="22" xfId="0" applyFont="1" applyFill="1" applyBorder="1" applyAlignment="1" applyProtection="1">
      <alignment horizontal="left" vertical="center" shrinkToFit="1"/>
      <protection locked="0"/>
    </xf>
    <xf numFmtId="0" fontId="11" fillId="0" borderId="29" xfId="0" applyFont="1" applyFill="1" applyBorder="1" applyAlignment="1" applyProtection="1">
      <alignment horizontal="left" vertical="center" shrinkToFit="1"/>
      <protection locked="0"/>
    </xf>
    <xf numFmtId="0" fontId="11" fillId="0" borderId="23" xfId="0" applyFont="1" applyFill="1" applyBorder="1" applyAlignment="1" applyProtection="1">
      <alignment horizontal="left" vertical="center" shrinkToFit="1"/>
      <protection locked="0"/>
    </xf>
    <xf numFmtId="0" fontId="38" fillId="5" borderId="0" xfId="0" applyFont="1" applyFill="1" applyAlignment="1" applyProtection="1">
      <alignment horizontal="center" vertical="center"/>
      <protection hidden="1"/>
    </xf>
    <xf numFmtId="0" fontId="27" fillId="3" borderId="22" xfId="0" applyFont="1" applyFill="1" applyBorder="1" applyAlignment="1" applyProtection="1">
      <alignment horizontal="center" vertical="center"/>
      <protection hidden="1"/>
    </xf>
    <xf numFmtId="0" fontId="27" fillId="3" borderId="23" xfId="0" applyFont="1" applyFill="1" applyBorder="1" applyAlignment="1" applyProtection="1">
      <alignment horizontal="center" vertical="center"/>
      <protection hidden="1"/>
    </xf>
    <xf numFmtId="205" fontId="12" fillId="0" borderId="22" xfId="0" applyNumberFormat="1" applyFont="1" applyFill="1" applyBorder="1" applyAlignment="1" applyProtection="1">
      <alignment horizontal="center" vertical="center"/>
      <protection locked="0"/>
    </xf>
    <xf numFmtId="205" fontId="12" fillId="0" borderId="23" xfId="0" applyNumberFormat="1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23" xfId="0" applyFont="1" applyFill="1" applyBorder="1" applyAlignment="1" applyProtection="1">
      <alignment horizontal="center" vertical="center" wrapText="1"/>
      <protection locked="0"/>
    </xf>
    <xf numFmtId="178" fontId="27" fillId="0" borderId="22" xfId="0" applyNumberFormat="1" applyFont="1" applyFill="1" applyBorder="1" applyAlignment="1" applyProtection="1">
      <alignment horizontal="center" vertical="center"/>
      <protection locked="0"/>
    </xf>
    <xf numFmtId="178" fontId="27" fillId="0" borderId="23" xfId="0" applyNumberFormat="1" applyFont="1" applyFill="1" applyBorder="1" applyAlignment="1" applyProtection="1">
      <alignment horizontal="center" vertical="center"/>
      <protection locked="0"/>
    </xf>
    <xf numFmtId="0" fontId="11" fillId="5" borderId="20" xfId="0" applyFont="1" applyFill="1" applyBorder="1" applyAlignment="1" applyProtection="1">
      <alignment horizontal="center" vertical="center" textRotation="255"/>
      <protection hidden="1"/>
    </xf>
    <xf numFmtId="0" fontId="11" fillId="5" borderId="24" xfId="0" applyFont="1" applyFill="1" applyBorder="1" applyAlignment="1" applyProtection="1">
      <alignment horizontal="center" vertical="center" textRotation="255"/>
      <protection hidden="1"/>
    </xf>
    <xf numFmtId="0" fontId="11" fillId="5" borderId="25" xfId="0" applyFont="1" applyFill="1" applyBorder="1" applyAlignment="1" applyProtection="1">
      <alignment horizontal="center" vertical="center" textRotation="255"/>
      <protection hidden="1"/>
    </xf>
    <xf numFmtId="178" fontId="11" fillId="0" borderId="22" xfId="0" applyNumberFormat="1" applyFont="1" applyFill="1" applyBorder="1" applyAlignment="1" applyProtection="1">
      <alignment horizontal="center" vertical="center"/>
      <protection locked="0"/>
    </xf>
    <xf numFmtId="178" fontId="11" fillId="0" borderId="23" xfId="0" applyNumberFormat="1" applyFont="1" applyFill="1" applyBorder="1" applyAlignment="1" applyProtection="1">
      <alignment horizontal="center" vertical="center"/>
      <protection locked="0"/>
    </xf>
    <xf numFmtId="0" fontId="11" fillId="5" borderId="20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24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25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0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1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2" xfId="0" applyFont="1" applyFill="1" applyBorder="1" applyAlignment="1" applyProtection="1">
      <alignment horizontal="center" vertical="center" textRotation="255" shrinkToFit="1"/>
      <protection hidden="1"/>
    </xf>
    <xf numFmtId="0" fontId="30" fillId="2" borderId="22" xfId="0" applyFont="1" applyFill="1" applyBorder="1" applyAlignment="1" applyProtection="1">
      <alignment horizontal="center" vertical="center"/>
      <protection hidden="1"/>
    </xf>
    <xf numFmtId="0" fontId="30" fillId="2" borderId="23" xfId="0" applyFont="1" applyFill="1" applyBorder="1" applyAlignment="1" applyProtection="1">
      <alignment horizontal="center" vertical="center"/>
      <protection hidden="1"/>
    </xf>
    <xf numFmtId="0" fontId="30" fillId="2" borderId="22" xfId="0" applyFont="1" applyFill="1" applyBorder="1" applyAlignment="1" applyProtection="1">
      <alignment horizontal="center" vertical="center" wrapText="1"/>
      <protection hidden="1"/>
    </xf>
    <xf numFmtId="0" fontId="30" fillId="2" borderId="23" xfId="0" applyFont="1" applyFill="1" applyBorder="1" applyAlignment="1" applyProtection="1">
      <alignment horizontal="center" vertical="center" wrapText="1"/>
      <protection hidden="1"/>
    </xf>
    <xf numFmtId="186" fontId="30" fillId="2" borderId="27" xfId="0" applyNumberFormat="1" applyFont="1" applyFill="1" applyBorder="1" applyAlignment="1" applyProtection="1">
      <alignment horizontal="right" vertical="center"/>
      <protection hidden="1"/>
    </xf>
    <xf numFmtId="186" fontId="30" fillId="2" borderId="23" xfId="0" applyNumberFormat="1" applyFont="1" applyFill="1" applyBorder="1" applyAlignment="1" applyProtection="1">
      <alignment horizontal="right" vertical="center"/>
      <protection hidden="1"/>
    </xf>
    <xf numFmtId="186" fontId="30" fillId="2" borderId="22" xfId="0" applyNumberFormat="1" applyFont="1" applyFill="1" applyBorder="1" applyAlignment="1" applyProtection="1">
      <alignment horizontal="right" vertical="center"/>
      <protection hidden="1"/>
    </xf>
    <xf numFmtId="0" fontId="30" fillId="0" borderId="22" xfId="0" applyFont="1" applyFill="1" applyBorder="1" applyAlignment="1" applyProtection="1">
      <alignment vertical="top"/>
      <protection locked="0"/>
    </xf>
    <xf numFmtId="0" fontId="30" fillId="0" borderId="29" xfId="0" applyFont="1" applyFill="1" applyBorder="1" applyAlignment="1" applyProtection="1">
      <alignment vertical="top"/>
      <protection locked="0"/>
    </xf>
    <xf numFmtId="0" fontId="30" fillId="0" borderId="23" xfId="0" applyFont="1" applyFill="1" applyBorder="1" applyAlignment="1" applyProtection="1">
      <alignment vertical="top"/>
      <protection locked="0"/>
    </xf>
    <xf numFmtId="0" fontId="11" fillId="2" borderId="20" xfId="0" applyFont="1" applyFill="1" applyBorder="1" applyAlignment="1" applyProtection="1">
      <alignment horizontal="center" vertical="center" textRotation="255"/>
      <protection hidden="1"/>
    </xf>
    <xf numFmtId="0" fontId="11" fillId="2" borderId="24" xfId="0" applyFont="1" applyFill="1" applyBorder="1" applyAlignment="1" applyProtection="1">
      <alignment horizontal="center" vertical="center" textRotation="255"/>
      <protection hidden="1"/>
    </xf>
    <xf numFmtId="0" fontId="11" fillId="2" borderId="25" xfId="0" applyFont="1" applyFill="1" applyBorder="1" applyAlignment="1" applyProtection="1">
      <alignment horizontal="center" vertical="center" textRotation="255"/>
      <protection hidden="1"/>
    </xf>
    <xf numFmtId="0" fontId="30" fillId="2" borderId="20" xfId="0" applyFont="1" applyFill="1" applyBorder="1" applyAlignment="1" applyProtection="1">
      <alignment horizontal="center" vertical="center" textRotation="255" shrinkToFit="1"/>
      <protection hidden="1"/>
    </xf>
    <xf numFmtId="0" fontId="30" fillId="2" borderId="24" xfId="0" applyFont="1" applyFill="1" applyBorder="1" applyAlignment="1" applyProtection="1">
      <alignment horizontal="center" vertical="center" textRotation="255" shrinkToFit="1"/>
      <protection hidden="1"/>
    </xf>
    <xf numFmtId="0" fontId="30" fillId="2" borderId="25" xfId="0" applyFont="1" applyFill="1" applyBorder="1" applyAlignment="1" applyProtection="1">
      <alignment horizontal="center" vertical="center" textRotation="255" shrinkToFit="1"/>
      <protection hidden="1"/>
    </xf>
    <xf numFmtId="49" fontId="30" fillId="2" borderId="22" xfId="0" applyNumberFormat="1" applyFont="1" applyFill="1" applyBorder="1" applyAlignment="1" applyProtection="1">
      <alignment horizontal="center" vertical="center" wrapText="1"/>
      <protection hidden="1"/>
    </xf>
    <xf numFmtId="49" fontId="30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30" fillId="2" borderId="21" xfId="0" applyFont="1" applyFill="1" applyBorder="1" applyAlignment="1" applyProtection="1">
      <alignment horizontal="center" vertical="center"/>
      <protection hidden="1"/>
    </xf>
    <xf numFmtId="49" fontId="30" fillId="0" borderId="22" xfId="0" applyNumberFormat="1" applyFont="1" applyFill="1" applyBorder="1" applyAlignment="1" applyProtection="1">
      <alignment horizontal="center" vertical="center"/>
      <protection locked="0"/>
    </xf>
    <xf numFmtId="49" fontId="30" fillId="0" borderId="23" xfId="0" applyNumberFormat="1" applyFont="1" applyFill="1" applyBorder="1" applyAlignment="1" applyProtection="1">
      <alignment horizontal="center" vertical="center"/>
      <protection locked="0"/>
    </xf>
    <xf numFmtId="49" fontId="30" fillId="2" borderId="21" xfId="0" applyNumberFormat="1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shrinkToFit="1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207" fontId="7" fillId="0" borderId="6" xfId="0" applyNumberFormat="1" applyFont="1" applyFill="1" applyBorder="1" applyAlignment="1" applyProtection="1">
      <alignment horizontal="center" vertical="center"/>
      <protection hidden="1"/>
    </xf>
    <xf numFmtId="196" fontId="7" fillId="0" borderId="6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Fill="1" applyBorder="1" applyAlignment="1" applyProtection="1">
      <alignment vertical="center"/>
      <protection hidden="1"/>
    </xf>
    <xf numFmtId="0" fontId="7" fillId="0" borderId="8" xfId="0" applyFont="1" applyFill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vertical="center"/>
      <protection hidden="1"/>
    </xf>
    <xf numFmtId="181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180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0" fontId="7" fillId="0" borderId="13" xfId="0" applyFont="1" applyFill="1" applyBorder="1" applyAlignment="1" applyProtection="1">
      <alignment vertical="top" wrapText="1" shrinkToFit="1"/>
      <protection hidden="1"/>
    </xf>
    <xf numFmtId="0" fontId="7" fillId="0" borderId="5" xfId="0" applyFont="1" applyFill="1" applyBorder="1" applyAlignment="1" applyProtection="1">
      <alignment vertical="top" wrapText="1" shrinkToFit="1"/>
      <protection hidden="1"/>
    </xf>
    <xf numFmtId="0" fontId="7" fillId="0" borderId="14" xfId="0" applyFont="1" applyFill="1" applyBorder="1" applyAlignment="1" applyProtection="1">
      <alignment vertical="top" wrapText="1" shrinkToFi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left" vertical="top"/>
      <protection hidden="1"/>
    </xf>
    <xf numFmtId="0" fontId="7" fillId="0" borderId="13" xfId="0" applyFont="1" applyFill="1" applyBorder="1" applyAlignment="1" applyProtection="1">
      <alignment vertical="top"/>
      <protection hidden="1"/>
    </xf>
    <xf numFmtId="0" fontId="7" fillId="0" borderId="5" xfId="0" applyFont="1" applyFill="1" applyBorder="1" applyAlignment="1" applyProtection="1">
      <alignment vertical="top"/>
      <protection hidden="1"/>
    </xf>
    <xf numFmtId="0" fontId="7" fillId="0" borderId="14" xfId="0" applyFont="1" applyFill="1" applyBorder="1" applyAlignment="1" applyProtection="1">
      <alignment vertical="top"/>
      <protection hidden="1"/>
    </xf>
    <xf numFmtId="0" fontId="9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top"/>
      <protection hidden="1"/>
    </xf>
    <xf numFmtId="0" fontId="17" fillId="0" borderId="5" xfId="0" applyFont="1" applyFill="1" applyBorder="1" applyAlignment="1" applyProtection="1">
      <alignment horizontal="left" vertical="center" shrinkToFit="1"/>
      <protection hidden="1"/>
    </xf>
    <xf numFmtId="196" fontId="17" fillId="0" borderId="0" xfId="0" applyNumberFormat="1" applyFont="1" applyFill="1" applyAlignment="1" applyProtection="1">
      <alignment horizontal="center" vertical="center"/>
      <protection hidden="1"/>
    </xf>
    <xf numFmtId="0" fontId="18" fillId="0" borderId="6" xfId="0" applyFont="1" applyFill="1" applyBorder="1" applyAlignment="1" applyProtection="1">
      <alignment horizontal="left" vertical="center"/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203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6" xfId="0" applyFont="1" applyFill="1" applyBorder="1" applyAlignment="1" applyProtection="1">
      <alignment horizontal="center" vertical="center"/>
      <protection hidden="1"/>
    </xf>
    <xf numFmtId="0" fontId="23" fillId="0" borderId="11" xfId="0" applyFont="1" applyFill="1" applyBorder="1" applyAlignment="1" applyProtection="1">
      <alignment horizontal="center" vertical="center"/>
      <protection hidden="1"/>
    </xf>
    <xf numFmtId="0" fontId="23" fillId="0" borderId="5" xfId="0" applyFont="1" applyFill="1" applyBorder="1" applyAlignment="1" applyProtection="1">
      <alignment horizontal="center" vertical="center"/>
      <protection hidden="1"/>
    </xf>
    <xf numFmtId="0" fontId="17" fillId="0" borderId="6" xfId="0" applyFont="1" applyFill="1" applyBorder="1" applyAlignment="1" applyProtection="1">
      <alignment horizontal="center" vertical="center" wrapText="1"/>
      <protection hidden="1"/>
    </xf>
    <xf numFmtId="186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0" fontId="17" fillId="0" borderId="17" xfId="0" applyFont="1" applyFill="1" applyBorder="1" applyAlignment="1" applyProtection="1">
      <alignment horizontal="center" vertical="center"/>
      <protection hidden="1"/>
    </xf>
    <xf numFmtId="182" fontId="17" fillId="0" borderId="6" xfId="0" applyNumberFormat="1" applyFont="1" applyFill="1" applyBorder="1" applyAlignment="1" applyProtection="1">
      <alignment vertical="center"/>
      <protection hidden="1"/>
    </xf>
    <xf numFmtId="184" fontId="17" fillId="0" borderId="6" xfId="0" applyNumberFormat="1" applyFont="1" applyFill="1" applyBorder="1" applyAlignment="1" applyProtection="1">
      <alignment vertical="center"/>
      <protection hidden="1"/>
    </xf>
    <xf numFmtId="197" fontId="17" fillId="0" borderId="6" xfId="0" applyNumberFormat="1" applyFont="1" applyFill="1" applyBorder="1" applyAlignment="1" applyProtection="1">
      <alignment vertical="center"/>
      <protection hidden="1"/>
    </xf>
    <xf numFmtId="192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7" xfId="0" applyFont="1" applyFill="1" applyBorder="1" applyAlignment="1" applyProtection="1">
      <alignment horizontal="left" vertical="center"/>
      <protection hidden="1"/>
    </xf>
    <xf numFmtId="0" fontId="17" fillId="0" borderId="8" xfId="0" applyFont="1" applyFill="1" applyBorder="1" applyAlignment="1" applyProtection="1">
      <alignment horizontal="left" vertical="center"/>
      <protection hidden="1"/>
    </xf>
    <xf numFmtId="197" fontId="17" fillId="0" borderId="8" xfId="0" applyNumberFormat="1" applyFont="1" applyFill="1" applyBorder="1" applyAlignment="1" applyProtection="1">
      <alignment horizontal="right" vertical="center"/>
      <protection hidden="1"/>
    </xf>
    <xf numFmtId="197" fontId="17" fillId="0" borderId="9" xfId="0" applyNumberFormat="1" applyFont="1" applyFill="1" applyBorder="1" applyAlignment="1" applyProtection="1">
      <alignment horizontal="right" vertical="center"/>
      <protection hidden="1"/>
    </xf>
    <xf numFmtId="188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right" vertical="center"/>
      <protection hidden="1"/>
    </xf>
    <xf numFmtId="0" fontId="17" fillId="0" borderId="6" xfId="0" applyFont="1" applyFill="1" applyBorder="1" applyAlignment="1" applyProtection="1">
      <alignment horizontal="center" vertical="center" textRotation="255"/>
      <protection hidden="1"/>
    </xf>
    <xf numFmtId="0" fontId="17" fillId="0" borderId="15" xfId="0" applyFont="1" applyFill="1" applyBorder="1" applyAlignment="1" applyProtection="1">
      <alignment vertical="center" textRotation="255" shrinkToFit="1"/>
      <protection hidden="1"/>
    </xf>
    <xf numFmtId="0" fontId="17" fillId="0" borderId="17" xfId="0" applyFont="1" applyFill="1" applyBorder="1" applyAlignment="1" applyProtection="1">
      <alignment vertical="center" textRotation="255" shrinkToFit="1"/>
      <protection hidden="1"/>
    </xf>
    <xf numFmtId="0" fontId="21" fillId="0" borderId="6" xfId="0" applyFont="1" applyFill="1" applyBorder="1" applyAlignment="1" applyProtection="1">
      <alignment horizontal="center" vertical="center" textRotation="255"/>
      <protection hidden="1"/>
    </xf>
    <xf numFmtId="205" fontId="17" fillId="0" borderId="6" xfId="0" applyNumberFormat="1" applyFont="1" applyFill="1" applyBorder="1" applyAlignment="1" applyProtection="1">
      <alignment vertical="center"/>
      <protection hidden="1"/>
    </xf>
    <xf numFmtId="186" fontId="17" fillId="0" borderId="17" xfId="0" applyNumberFormat="1" applyFont="1" applyFill="1" applyBorder="1" applyAlignment="1" applyProtection="1">
      <alignment vertical="center"/>
      <protection hidden="1"/>
    </xf>
    <xf numFmtId="186" fontId="17" fillId="0" borderId="15" xfId="0" applyNumberFormat="1" applyFont="1" applyFill="1" applyBorder="1" applyAlignment="1" applyProtection="1">
      <alignment vertical="center"/>
      <protection hidden="1"/>
    </xf>
    <xf numFmtId="181" fontId="17" fillId="0" borderId="12" xfId="0" applyNumberFormat="1" applyFont="1" applyFill="1" applyBorder="1" applyAlignment="1" applyProtection="1">
      <alignment horizontal="left" vertical="center"/>
      <protection hidden="1"/>
    </xf>
    <xf numFmtId="181" fontId="17" fillId="0" borderId="14" xfId="0" applyNumberFormat="1" applyFont="1" applyFill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186" fontId="13" fillId="0" borderId="7" xfId="0" applyNumberFormat="1" applyFont="1" applyFill="1" applyBorder="1" applyAlignment="1" applyProtection="1">
      <alignment horizontal="right" vertical="center"/>
      <protection hidden="1"/>
    </xf>
    <xf numFmtId="186" fontId="13" fillId="0" borderId="9" xfId="0" applyNumberFormat="1" applyFont="1" applyFill="1" applyBorder="1" applyAlignment="1" applyProtection="1">
      <alignment horizontal="right" vertical="center"/>
      <protection hidden="1"/>
    </xf>
    <xf numFmtId="0" fontId="7" fillId="0" borderId="10" xfId="0" applyFont="1" applyFill="1" applyBorder="1" applyAlignment="1" applyProtection="1">
      <alignment horizontal="center" vertical="center"/>
      <protection hidden="1"/>
    </xf>
    <xf numFmtId="0" fontId="7" fillId="0" borderId="13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vertical="center" shrinkToFit="1"/>
      <protection hidden="1"/>
    </xf>
    <xf numFmtId="0" fontId="7" fillId="0" borderId="12" xfId="0" applyFont="1" applyFill="1" applyBorder="1" applyAlignment="1" applyProtection="1">
      <alignment vertical="center" shrinkToFit="1"/>
      <protection hidden="1"/>
    </xf>
    <xf numFmtId="0" fontId="7" fillId="0" borderId="5" xfId="0" applyFont="1" applyFill="1" applyBorder="1" applyAlignment="1" applyProtection="1">
      <alignment vertical="center" shrinkToFit="1"/>
      <protection hidden="1"/>
    </xf>
    <xf numFmtId="0" fontId="7" fillId="0" borderId="14" xfId="0" applyFont="1" applyFill="1" applyBorder="1" applyAlignment="1" applyProtection="1">
      <alignment vertical="center" shrinkToFit="1"/>
      <protection hidden="1"/>
    </xf>
    <xf numFmtId="194" fontId="5" fillId="0" borderId="7" xfId="0" applyNumberFormat="1" applyFont="1" applyFill="1" applyBorder="1" applyAlignment="1" applyProtection="1">
      <alignment horizontal="right" vertical="center" shrinkToFit="1"/>
      <protection hidden="1"/>
    </xf>
    <xf numFmtId="194" fontId="5" fillId="0" borderId="8" xfId="0" applyNumberFormat="1" applyFont="1" applyFill="1" applyBorder="1" applyAlignment="1" applyProtection="1">
      <alignment horizontal="right" vertical="center" shrinkToFit="1"/>
      <protection hidden="1"/>
    </xf>
    <xf numFmtId="194" fontId="5" fillId="0" borderId="9" xfId="0" applyNumberFormat="1" applyFont="1" applyFill="1" applyBorder="1" applyAlignment="1" applyProtection="1">
      <alignment horizontal="right" vertical="center" shrinkToFit="1"/>
      <protection hidden="1"/>
    </xf>
    <xf numFmtId="200" fontId="5" fillId="0" borderId="7" xfId="0" applyNumberFormat="1" applyFont="1" applyFill="1" applyBorder="1" applyAlignment="1" applyProtection="1">
      <alignment horizontal="right" vertical="center" shrinkToFit="1"/>
      <protection hidden="1"/>
    </xf>
    <xf numFmtId="200" fontId="5" fillId="0" borderId="8" xfId="0" applyNumberFormat="1" applyFont="1" applyFill="1" applyBorder="1" applyAlignment="1" applyProtection="1">
      <alignment horizontal="right" vertical="center" shrinkToFit="1"/>
      <protection hidden="1"/>
    </xf>
    <xf numFmtId="200" fontId="5" fillId="0" borderId="9" xfId="0" applyNumberFormat="1" applyFont="1" applyFill="1" applyBorder="1" applyAlignment="1" applyProtection="1">
      <alignment horizontal="right" vertical="center" shrinkToFit="1"/>
      <protection hidden="1"/>
    </xf>
    <xf numFmtId="0" fontId="5" fillId="0" borderId="7" xfId="0" applyFont="1" applyFill="1" applyBorder="1" applyAlignment="1" applyProtection="1">
      <alignment horizontal="right" vertical="center" shrinkToFit="1"/>
      <protection hidden="1"/>
    </xf>
    <xf numFmtId="0" fontId="5" fillId="0" borderId="8" xfId="0" applyFont="1" applyFill="1" applyBorder="1" applyAlignment="1" applyProtection="1">
      <alignment horizontal="right" vertical="center" shrinkToFit="1"/>
      <protection hidden="1"/>
    </xf>
    <xf numFmtId="0" fontId="5" fillId="0" borderId="9" xfId="0" applyFont="1" applyFill="1" applyBorder="1" applyAlignment="1" applyProtection="1">
      <alignment horizontal="right" vertical="center" shrinkToFit="1"/>
      <protection hidden="1"/>
    </xf>
    <xf numFmtId="0" fontId="7" fillId="0" borderId="5" xfId="0" applyFont="1" applyFill="1" applyBorder="1" applyAlignment="1" applyProtection="1">
      <alignment horizontal="left" vertical="center" shrinkToFit="1"/>
      <protection hidden="1"/>
    </xf>
    <xf numFmtId="0" fontId="8" fillId="0" borderId="6" xfId="0" applyFont="1" applyFill="1" applyBorder="1" applyAlignment="1" applyProtection="1">
      <alignment horizontal="left" vertical="center"/>
      <protection hidden="1"/>
    </xf>
    <xf numFmtId="0" fontId="7" fillId="0" borderId="6" xfId="0" applyFont="1" applyFill="1" applyBorder="1" applyAlignment="1" applyProtection="1">
      <alignment vertical="center"/>
      <protection hidden="1"/>
    </xf>
    <xf numFmtId="197" fontId="7" fillId="0" borderId="6" xfId="0" applyNumberFormat="1" applyFont="1" applyFill="1" applyBorder="1" applyAlignment="1" applyProtection="1">
      <alignment vertical="center"/>
      <protection hidden="1"/>
    </xf>
    <xf numFmtId="189" fontId="7" fillId="0" borderId="6" xfId="0" applyNumberFormat="1" applyFont="1" applyFill="1" applyBorder="1" applyAlignment="1" applyProtection="1">
      <alignment vertical="center"/>
      <protection hidden="1"/>
    </xf>
    <xf numFmtId="0" fontId="8" fillId="0" borderId="6" xfId="0" applyFont="1" applyFill="1" applyBorder="1" applyAlignment="1" applyProtection="1">
      <alignment vertical="center"/>
      <protection hidden="1"/>
    </xf>
    <xf numFmtId="0" fontId="7" fillId="0" borderId="16" xfId="0" applyFont="1" applyFill="1" applyBorder="1" applyAlignment="1" applyProtection="1">
      <alignment horizontal="left" vertical="top" wrapText="1"/>
      <protection hidden="1"/>
    </xf>
    <xf numFmtId="0" fontId="7" fillId="0" borderId="17" xfId="0" applyFont="1" applyFill="1" applyBorder="1" applyAlignment="1" applyProtection="1">
      <alignment horizontal="left" vertical="top" wrapText="1"/>
      <protection hidden="1"/>
    </xf>
    <xf numFmtId="0" fontId="8" fillId="0" borderId="7" xfId="0" applyFont="1" applyFill="1" applyBorder="1" applyAlignment="1" applyProtection="1">
      <alignment horizontal="left" vertical="center"/>
      <protection hidden="1"/>
    </xf>
    <xf numFmtId="0" fontId="8" fillId="0" borderId="8" xfId="0" applyFont="1" applyFill="1" applyBorder="1" applyAlignment="1" applyProtection="1">
      <alignment horizontal="left" vertical="center"/>
      <protection hidden="1"/>
    </xf>
    <xf numFmtId="0" fontId="8" fillId="0" borderId="9" xfId="0" applyFont="1" applyFill="1" applyBorder="1" applyAlignment="1" applyProtection="1">
      <alignment horizontal="left" vertical="center"/>
      <protection hidden="1"/>
    </xf>
    <xf numFmtId="0" fontId="8" fillId="0" borderId="15" xfId="0" applyFont="1" applyFill="1" applyBorder="1" applyAlignment="1" applyProtection="1">
      <alignment horizontal="left" vertical="center"/>
      <protection hidden="1"/>
    </xf>
    <xf numFmtId="197" fontId="7" fillId="0" borderId="8" xfId="0" applyNumberFormat="1" applyFont="1" applyFill="1" applyBorder="1" applyAlignment="1" applyProtection="1">
      <alignment vertical="center"/>
      <protection hidden="1"/>
    </xf>
    <xf numFmtId="197" fontId="7" fillId="0" borderId="9" xfId="0" applyNumberFormat="1" applyFont="1" applyFill="1" applyBorder="1" applyAlignment="1" applyProtection="1">
      <alignment vertical="center"/>
      <protection hidden="1"/>
    </xf>
    <xf numFmtId="0" fontId="7" fillId="0" borderId="10" xfId="0" applyFont="1" applyFill="1" applyBorder="1" applyAlignment="1" applyProtection="1">
      <alignment vertical="center" wrapText="1"/>
      <protection hidden="1"/>
    </xf>
    <xf numFmtId="0" fontId="7" fillId="0" borderId="11" xfId="0" applyFont="1" applyFill="1" applyBorder="1" applyAlignment="1" applyProtection="1">
      <alignment vertical="center" wrapText="1"/>
      <protection hidden="1"/>
    </xf>
    <xf numFmtId="0" fontId="7" fillId="0" borderId="12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206" fontId="3" fillId="0" borderId="0" xfId="0" applyNumberFormat="1" applyFont="1" applyFill="1" applyAlignment="1" applyProtection="1">
      <alignment horizontal="center" vertical="center"/>
      <protection hidden="1"/>
    </xf>
    <xf numFmtId="202" fontId="3" fillId="0" borderId="0" xfId="0" applyNumberFormat="1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hidden="1"/>
    </xf>
    <xf numFmtId="201" fontId="3" fillId="0" borderId="0" xfId="0" applyNumberFormat="1" applyFont="1" applyFill="1" applyAlignment="1" applyProtection="1">
      <alignment vertical="center"/>
      <protection hidden="1"/>
    </xf>
    <xf numFmtId="201" fontId="3" fillId="0" borderId="1" xfId="0" applyNumberFormat="1" applyFont="1" applyFill="1" applyBorder="1" applyAlignment="1" applyProtection="1">
      <alignment vertical="center"/>
      <protection hidden="1"/>
    </xf>
    <xf numFmtId="200" fontId="3" fillId="0" borderId="0" xfId="0" applyNumberFormat="1" applyFont="1" applyFill="1" applyAlignment="1" applyProtection="1">
      <alignment vertical="center"/>
      <protection hidden="1"/>
    </xf>
    <xf numFmtId="200" fontId="3" fillId="0" borderId="1" xfId="0" applyNumberFormat="1" applyFont="1" applyFill="1" applyBorder="1" applyAlignment="1" applyProtection="1">
      <alignment vertical="center"/>
      <protection hidden="1"/>
    </xf>
    <xf numFmtId="200" fontId="3" fillId="0" borderId="4" xfId="0" applyNumberFormat="1" applyFont="1" applyFill="1" applyBorder="1" applyAlignment="1" applyProtection="1">
      <alignment horizontal="right" vertical="center"/>
      <protection hidden="1"/>
    </xf>
    <xf numFmtId="200" fontId="3" fillId="0" borderId="1" xfId="0" applyNumberFormat="1" applyFont="1" applyFill="1" applyBorder="1" applyAlignment="1" applyProtection="1">
      <alignment horizontal="right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200" fontId="3" fillId="0" borderId="0" xfId="0" applyNumberFormat="1" applyFont="1" applyFill="1" applyAlignment="1" applyProtection="1">
      <alignment horizontal="right" vertical="center"/>
      <protection hidden="1"/>
    </xf>
    <xf numFmtId="0" fontId="3" fillId="0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Fill="1" applyAlignment="1" applyProtection="1">
      <alignment vertical="center" shrinkToFit="1"/>
      <protection hidden="1"/>
    </xf>
    <xf numFmtId="199" fontId="3" fillId="0" borderId="0" xfId="0" applyNumberFormat="1" applyFont="1" applyFill="1" applyAlignment="1" applyProtection="1">
      <alignment horizontal="right" vertical="center"/>
      <protection hidden="1"/>
    </xf>
    <xf numFmtId="199" fontId="3" fillId="0" borderId="1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Fill="1" applyAlignment="1" applyProtection="1">
      <alignment horizontal="right" vertical="center"/>
      <protection hidden="1"/>
    </xf>
    <xf numFmtId="0" fontId="3" fillId="0" borderId="1" xfId="0" applyFont="1" applyFill="1" applyBorder="1" applyAlignment="1" applyProtection="1">
      <alignment horizontal="right" vertical="center"/>
      <protection hidden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12</xdr:row>
      <xdr:rowOff>0</xdr:rowOff>
    </xdr:from>
    <xdr:to>
      <xdr:col>9</xdr:col>
      <xdr:colOff>57150</xdr:colOff>
      <xdr:row>12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743325" y="2402840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14</xdr:row>
      <xdr:rowOff>0</xdr:rowOff>
    </xdr:from>
    <xdr:to>
      <xdr:col>9</xdr:col>
      <xdr:colOff>57150</xdr:colOff>
      <xdr:row>14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>
          <a:off x="3743325" y="2812415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0</xdr:rowOff>
    </xdr:from>
    <xdr:to>
      <xdr:col>9</xdr:col>
      <xdr:colOff>57150</xdr:colOff>
      <xdr:row>16</xdr:row>
      <xdr:rowOff>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3743325" y="3221990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</xdr:row>
      <xdr:rowOff>123825</xdr:rowOff>
    </xdr:from>
    <xdr:to>
      <xdr:col>7</xdr:col>
      <xdr:colOff>161925</xdr:colOff>
      <xdr:row>12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701925" y="231711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13</xdr:row>
      <xdr:rowOff>123825</xdr:rowOff>
    </xdr:from>
    <xdr:to>
      <xdr:col>7</xdr:col>
      <xdr:colOff>161925</xdr:colOff>
      <xdr:row>14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701925" y="2726690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15</xdr:row>
      <xdr:rowOff>123825</xdr:rowOff>
    </xdr:from>
    <xdr:to>
      <xdr:col>7</xdr:col>
      <xdr:colOff>161925</xdr:colOff>
      <xdr:row>16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701925" y="313626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m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32</xdr:row>
          <xdr:rowOff>76200</xdr:rowOff>
        </xdr:from>
        <xdr:to>
          <xdr:col>2</xdr:col>
          <xdr:colOff>241300</xdr:colOff>
          <xdr:row>32</xdr:row>
          <xdr:rowOff>266700</xdr:rowOff>
        </xdr:to>
        <xdr:sp macro="" textlink="">
          <xdr:nvSpPr>
            <xdr:cNvPr id="7379" name="Object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6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25400</xdr:rowOff>
        </xdr:from>
        <xdr:to>
          <xdr:col>6</xdr:col>
          <xdr:colOff>25400</xdr:colOff>
          <xdr:row>29</xdr:row>
          <xdr:rowOff>228600</xdr:rowOff>
        </xdr:to>
        <xdr:sp macro="" textlink="">
          <xdr:nvSpPr>
            <xdr:cNvPr id="7380" name="Object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6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0</xdr:rowOff>
        </xdr:from>
        <xdr:to>
          <xdr:col>10</xdr:col>
          <xdr:colOff>215900</xdr:colOff>
          <xdr:row>10</xdr:row>
          <xdr:rowOff>88900</xdr:rowOff>
        </xdr:to>
        <xdr:sp macro="" textlink="">
          <xdr:nvSpPr>
            <xdr:cNvPr id="7384" name="Object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6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31</xdr:row>
          <xdr:rowOff>50800</xdr:rowOff>
        </xdr:from>
        <xdr:to>
          <xdr:col>7</xdr:col>
          <xdr:colOff>12700</xdr:colOff>
          <xdr:row>31</xdr:row>
          <xdr:rowOff>317500</xdr:rowOff>
        </xdr:to>
        <xdr:sp macro="" textlink="">
          <xdr:nvSpPr>
            <xdr:cNvPr id="7385" name="Object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6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123825</xdr:rowOff>
    </xdr:from>
    <xdr:to>
      <xdr:col>7</xdr:col>
      <xdr:colOff>161925</xdr:colOff>
      <xdr:row>12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2701925" y="231711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13</xdr:row>
      <xdr:rowOff>123825</xdr:rowOff>
    </xdr:from>
    <xdr:to>
      <xdr:col>7</xdr:col>
      <xdr:colOff>161925</xdr:colOff>
      <xdr:row>14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701925" y="2726690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15</xdr:row>
      <xdr:rowOff>123825</xdr:rowOff>
    </xdr:from>
    <xdr:to>
      <xdr:col>7</xdr:col>
      <xdr:colOff>161925</xdr:colOff>
      <xdr:row>16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2701925" y="313626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m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419100</xdr:colOff>
      <xdr:row>12</xdr:row>
      <xdr:rowOff>0</xdr:rowOff>
    </xdr:from>
    <xdr:to>
      <xdr:col>9</xdr:col>
      <xdr:colOff>57150</xdr:colOff>
      <xdr:row>12</xdr:row>
      <xdr:rowOff>0</xdr:rowOff>
    </xdr:to>
    <xdr:sp macro="" textlink="">
      <xdr:nvSpPr>
        <xdr:cNvPr id="6446" name="Line 212">
          <a:extLst>
            <a:ext uri="{FF2B5EF4-FFF2-40B4-BE49-F238E27FC236}">
              <a16:creationId xmlns:a16="http://schemas.microsoft.com/office/drawing/2014/main" id="{00000000-0008-0000-0700-00002E190000}"/>
            </a:ext>
          </a:extLst>
        </xdr:cNvPr>
        <xdr:cNvSpPr>
          <a:spLocks noChangeShapeType="1"/>
        </xdr:cNvSpPr>
      </xdr:nvSpPr>
      <xdr:spPr>
        <a:xfrm>
          <a:off x="3743325" y="2402840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409575</xdr:colOff>
      <xdr:row>14</xdr:row>
      <xdr:rowOff>0</xdr:rowOff>
    </xdr:from>
    <xdr:to>
      <xdr:col>9</xdr:col>
      <xdr:colOff>47625</xdr:colOff>
      <xdr:row>14</xdr:row>
      <xdr:rowOff>0</xdr:rowOff>
    </xdr:to>
    <xdr:sp macro="" textlink="">
      <xdr:nvSpPr>
        <xdr:cNvPr id="6447" name="Line 213">
          <a:extLst>
            <a:ext uri="{FF2B5EF4-FFF2-40B4-BE49-F238E27FC236}">
              <a16:creationId xmlns:a16="http://schemas.microsoft.com/office/drawing/2014/main" id="{00000000-0008-0000-0700-00002F190000}"/>
            </a:ext>
          </a:extLst>
        </xdr:cNvPr>
        <xdr:cNvSpPr>
          <a:spLocks noChangeShapeType="1"/>
        </xdr:cNvSpPr>
      </xdr:nvSpPr>
      <xdr:spPr>
        <a:xfrm>
          <a:off x="3733800" y="2812415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16</xdr:row>
      <xdr:rowOff>0</xdr:rowOff>
    </xdr:from>
    <xdr:to>
      <xdr:col>9</xdr:col>
      <xdr:colOff>57150</xdr:colOff>
      <xdr:row>16</xdr:row>
      <xdr:rowOff>0</xdr:rowOff>
    </xdr:to>
    <xdr:sp macro="" textlink="">
      <xdr:nvSpPr>
        <xdr:cNvPr id="6448" name="Line 214">
          <a:extLst>
            <a:ext uri="{FF2B5EF4-FFF2-40B4-BE49-F238E27FC236}">
              <a16:creationId xmlns:a16="http://schemas.microsoft.com/office/drawing/2014/main" id="{00000000-0008-0000-0700-000030190000}"/>
            </a:ext>
          </a:extLst>
        </xdr:cNvPr>
        <xdr:cNvSpPr>
          <a:spLocks noChangeShapeType="1"/>
        </xdr:cNvSpPr>
      </xdr:nvSpPr>
      <xdr:spPr>
        <a:xfrm>
          <a:off x="3743325" y="3221990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31</xdr:row>
          <xdr:rowOff>50800</xdr:rowOff>
        </xdr:from>
        <xdr:to>
          <xdr:col>7</xdr:col>
          <xdr:colOff>12700</xdr:colOff>
          <xdr:row>31</xdr:row>
          <xdr:rowOff>317500</xdr:rowOff>
        </xdr:to>
        <xdr:sp macro="" textlink="">
          <xdr:nvSpPr>
            <xdr:cNvPr id="6364" name="Object 220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00000000-0008-0000-0700-0000D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25400</xdr:rowOff>
        </xdr:from>
        <xdr:to>
          <xdr:col>6</xdr:col>
          <xdr:colOff>25400</xdr:colOff>
          <xdr:row>29</xdr:row>
          <xdr:rowOff>228600</xdr:rowOff>
        </xdr:to>
        <xdr:sp macro="" textlink="">
          <xdr:nvSpPr>
            <xdr:cNvPr id="6366" name="Object 222" hidden="1">
              <a:extLst>
                <a:ext uri="{63B3BB69-23CF-44E3-9099-C40C66FF867C}">
                  <a14:compatExt spid="_x0000_s6366"/>
                </a:ext>
                <a:ext uri="{FF2B5EF4-FFF2-40B4-BE49-F238E27FC236}">
                  <a16:creationId xmlns:a16="http://schemas.microsoft.com/office/drawing/2014/main" id="{00000000-0008-0000-0700-0000D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32</xdr:row>
          <xdr:rowOff>88900</xdr:rowOff>
        </xdr:from>
        <xdr:to>
          <xdr:col>2</xdr:col>
          <xdr:colOff>241300</xdr:colOff>
          <xdr:row>32</xdr:row>
          <xdr:rowOff>279400</xdr:rowOff>
        </xdr:to>
        <xdr:sp macro="" textlink="">
          <xdr:nvSpPr>
            <xdr:cNvPr id="6368" name="Object 224" hidden="1">
              <a:extLst>
                <a:ext uri="{63B3BB69-23CF-44E3-9099-C40C66FF867C}">
                  <a14:compatExt spid="_x0000_s6368"/>
                </a:ext>
                <a:ext uri="{FF2B5EF4-FFF2-40B4-BE49-F238E27FC236}">
                  <a16:creationId xmlns:a16="http://schemas.microsoft.com/office/drawing/2014/main" id="{00000000-0008-0000-0700-0000E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0</xdr:rowOff>
        </xdr:from>
        <xdr:to>
          <xdr:col>10</xdr:col>
          <xdr:colOff>215900</xdr:colOff>
          <xdr:row>10</xdr:row>
          <xdr:rowOff>88900</xdr:rowOff>
        </xdr:to>
        <xdr:sp macro="" textlink="">
          <xdr:nvSpPr>
            <xdr:cNvPr id="6370" name="Object 226" hidden="1">
              <a:extLst>
                <a:ext uri="{63B3BB69-23CF-44E3-9099-C40C66FF867C}">
                  <a14:compatExt spid="_x0000_s6370"/>
                </a:ext>
                <a:ext uri="{FF2B5EF4-FFF2-40B4-BE49-F238E27FC236}">
                  <a16:creationId xmlns:a16="http://schemas.microsoft.com/office/drawing/2014/main" id="{00000000-0008-0000-0700-0000E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1042670</xdr:colOff>
      <xdr:row>6</xdr:row>
      <xdr:rowOff>9525</xdr:rowOff>
    </xdr:from>
    <xdr:to>
      <xdr:col>6</xdr:col>
      <xdr:colOff>28575</xdr:colOff>
      <xdr:row>6</xdr:row>
      <xdr:rowOff>171450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5434330" y="1075055"/>
          <a:ext cx="285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  <a:latin typeface="+mn-ea"/>
              <a:ea typeface="+mn-ea"/>
            </a:rPr>
            <a:t>/</a:t>
          </a:r>
          <a:endParaRPr lang="zh-CN" altLang="en-US" sz="12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21</xdr:row>
          <xdr:rowOff>50800</xdr:rowOff>
        </xdr:from>
        <xdr:to>
          <xdr:col>2</xdr:col>
          <xdr:colOff>254000</xdr:colOff>
          <xdr:row>22</xdr:row>
          <xdr:rowOff>76200</xdr:rowOff>
        </xdr:to>
        <xdr:sp macro="" textlink="">
          <xdr:nvSpPr>
            <xdr:cNvPr id="17409" name="Check Box 1025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A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23</xdr:row>
          <xdr:rowOff>50800</xdr:rowOff>
        </xdr:from>
        <xdr:to>
          <xdr:col>2</xdr:col>
          <xdr:colOff>254000</xdr:colOff>
          <xdr:row>24</xdr:row>
          <xdr:rowOff>76200</xdr:rowOff>
        </xdr:to>
        <xdr:sp macro="" textlink="">
          <xdr:nvSpPr>
            <xdr:cNvPr id="17410" name="Check Box 1026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A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25</xdr:row>
          <xdr:rowOff>50800</xdr:rowOff>
        </xdr:from>
        <xdr:to>
          <xdr:col>2</xdr:col>
          <xdr:colOff>254000</xdr:colOff>
          <xdr:row>26</xdr:row>
          <xdr:rowOff>76200</xdr:rowOff>
        </xdr:to>
        <xdr:sp macro="" textlink="">
          <xdr:nvSpPr>
            <xdr:cNvPr id="17411" name="Check Box 1027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A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27</xdr:row>
          <xdr:rowOff>12700</xdr:rowOff>
        </xdr:from>
        <xdr:to>
          <xdr:col>2</xdr:col>
          <xdr:colOff>254000</xdr:colOff>
          <xdr:row>27</xdr:row>
          <xdr:rowOff>165100</xdr:rowOff>
        </xdr:to>
        <xdr:sp macro="" textlink="">
          <xdr:nvSpPr>
            <xdr:cNvPr id="17412" name="Check Box 1028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A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28</xdr:row>
          <xdr:rowOff>12700</xdr:rowOff>
        </xdr:from>
        <xdr:to>
          <xdr:col>2</xdr:col>
          <xdr:colOff>254000</xdr:colOff>
          <xdr:row>28</xdr:row>
          <xdr:rowOff>165100</xdr:rowOff>
        </xdr:to>
        <xdr:sp macro="" textlink="">
          <xdr:nvSpPr>
            <xdr:cNvPr id="17413" name="Check Box 1029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A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26</xdr:row>
          <xdr:rowOff>12700</xdr:rowOff>
        </xdr:from>
        <xdr:to>
          <xdr:col>5</xdr:col>
          <xdr:colOff>368300</xdr:colOff>
          <xdr:row>26</xdr:row>
          <xdr:rowOff>101600</xdr:rowOff>
        </xdr:to>
        <xdr:sp macro="" textlink="">
          <xdr:nvSpPr>
            <xdr:cNvPr id="17419" name="Check Box 1035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A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24</xdr:row>
          <xdr:rowOff>12700</xdr:rowOff>
        </xdr:from>
        <xdr:to>
          <xdr:col>5</xdr:col>
          <xdr:colOff>368300</xdr:colOff>
          <xdr:row>24</xdr:row>
          <xdr:rowOff>101600</xdr:rowOff>
        </xdr:to>
        <xdr:sp macro="" textlink="">
          <xdr:nvSpPr>
            <xdr:cNvPr id="17420" name="Check Box 1036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A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24</xdr:row>
          <xdr:rowOff>25400</xdr:rowOff>
        </xdr:from>
        <xdr:to>
          <xdr:col>4</xdr:col>
          <xdr:colOff>241300</xdr:colOff>
          <xdr:row>24</xdr:row>
          <xdr:rowOff>101600</xdr:rowOff>
        </xdr:to>
        <xdr:sp macro="" textlink="">
          <xdr:nvSpPr>
            <xdr:cNvPr id="17422" name="Check Box 1038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A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22</xdr:row>
          <xdr:rowOff>12700</xdr:rowOff>
        </xdr:from>
        <xdr:to>
          <xdr:col>5</xdr:col>
          <xdr:colOff>368300</xdr:colOff>
          <xdr:row>22</xdr:row>
          <xdr:rowOff>101600</xdr:rowOff>
        </xdr:to>
        <xdr:sp macro="" textlink="">
          <xdr:nvSpPr>
            <xdr:cNvPr id="17423" name="Check Box 1039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A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22</xdr:row>
          <xdr:rowOff>25400</xdr:rowOff>
        </xdr:from>
        <xdr:to>
          <xdr:col>4</xdr:col>
          <xdr:colOff>241300</xdr:colOff>
          <xdr:row>22</xdr:row>
          <xdr:rowOff>101600</xdr:rowOff>
        </xdr:to>
        <xdr:sp macro="" textlink="">
          <xdr:nvSpPr>
            <xdr:cNvPr id="17424" name="Check Box 1040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A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26</xdr:row>
          <xdr:rowOff>12700</xdr:rowOff>
        </xdr:from>
        <xdr:to>
          <xdr:col>4</xdr:col>
          <xdr:colOff>241300</xdr:colOff>
          <xdr:row>26</xdr:row>
          <xdr:rowOff>101600</xdr:rowOff>
        </xdr:to>
        <xdr:sp macro="" textlink="">
          <xdr:nvSpPr>
            <xdr:cNvPr id="17425" name="Check Box 1041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A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3.emf"/><Relationship Id="rId4" Type="http://schemas.openxmlformats.org/officeDocument/2006/relationships/image" Target="../media/image5.emf"/><Relationship Id="rId9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workbookViewId="0">
      <selection activeCell="C23" sqref="C23:D23"/>
    </sheetView>
  </sheetViews>
  <sheetFormatPr baseColWidth="10" defaultColWidth="9" defaultRowHeight="14"/>
  <cols>
    <col min="1" max="1" width="2.1640625" style="220" customWidth="1"/>
    <col min="2" max="2" width="13.5" style="220" customWidth="1"/>
    <col min="3" max="4" width="22.6640625" style="220" customWidth="1"/>
    <col min="5" max="5" width="9.1640625" style="220" customWidth="1"/>
    <col min="6" max="6" width="14.83203125" style="220" customWidth="1"/>
    <col min="7" max="7" width="13.83203125" style="220" customWidth="1"/>
    <col min="8" max="8" width="11" style="220" customWidth="1"/>
    <col min="9" max="9" width="12.83203125" style="220" customWidth="1"/>
    <col min="10" max="10" width="15.1640625" style="220" customWidth="1"/>
    <col min="11" max="11" width="12.83203125" style="220" customWidth="1"/>
    <col min="12" max="12" width="10.6640625" style="220" customWidth="1"/>
    <col min="13" max="15" width="11.1640625" style="220" customWidth="1"/>
    <col min="16" max="16384" width="9" style="220"/>
  </cols>
  <sheetData>
    <row r="2" spans="2:15" ht="25.5" customHeight="1">
      <c r="C2" s="235" t="s">
        <v>0</v>
      </c>
      <c r="D2" s="264"/>
      <c r="E2" s="264"/>
      <c r="F2" s="264"/>
      <c r="G2" s="264"/>
      <c r="H2" s="264"/>
      <c r="I2" s="264"/>
      <c r="J2" s="264"/>
      <c r="K2" s="264"/>
    </row>
    <row r="3" spans="2:15" ht="5.25" customHeight="1"/>
    <row r="4" spans="2:15" ht="16.5" customHeight="1">
      <c r="B4" s="238" t="s">
        <v>1</v>
      </c>
      <c r="C4" s="238" t="s">
        <v>2</v>
      </c>
      <c r="D4" s="238" t="s">
        <v>3</v>
      </c>
      <c r="E4" s="270"/>
      <c r="F4" s="270"/>
      <c r="H4" s="270"/>
      <c r="I4" s="270"/>
      <c r="J4" s="270"/>
      <c r="K4" s="270"/>
    </row>
    <row r="5" spans="2:15" ht="16.5" customHeight="1">
      <c r="B5" s="238" t="s">
        <v>4</v>
      </c>
      <c r="C5" s="265" t="s">
        <v>5</v>
      </c>
      <c r="D5" s="265" t="s">
        <v>5</v>
      </c>
      <c r="E5" s="270"/>
      <c r="F5" s="270"/>
      <c r="H5" s="270"/>
      <c r="I5" s="270"/>
      <c r="J5" s="270"/>
      <c r="K5" s="270"/>
    </row>
    <row r="6" spans="2:15" ht="16.5" customHeight="1">
      <c r="B6" s="238" t="s">
        <v>6</v>
      </c>
      <c r="C6" s="266">
        <v>44337</v>
      </c>
      <c r="D6" s="266">
        <v>44339</v>
      </c>
      <c r="E6" s="270"/>
      <c r="F6" s="270"/>
      <c r="H6" s="270"/>
      <c r="I6" s="270"/>
      <c r="J6" s="270"/>
      <c r="K6" s="270"/>
    </row>
    <row r="7" spans="2:15" ht="16.5" customHeight="1">
      <c r="B7" s="238" t="s">
        <v>7</v>
      </c>
      <c r="C7" s="265" t="s">
        <v>8</v>
      </c>
      <c r="D7" s="265" t="s">
        <v>9</v>
      </c>
      <c r="E7" s="270"/>
      <c r="F7" s="270"/>
      <c r="H7" s="270"/>
      <c r="I7" s="270"/>
      <c r="J7" s="270"/>
      <c r="K7" s="270"/>
    </row>
    <row r="8" spans="2:15" ht="16.5" customHeight="1">
      <c r="B8" s="238" t="s">
        <v>10</v>
      </c>
      <c r="C8" s="265" t="s">
        <v>11</v>
      </c>
      <c r="D8" s="265" t="s">
        <v>11</v>
      </c>
      <c r="E8" s="270"/>
      <c r="F8" s="270"/>
      <c r="H8" s="270"/>
      <c r="I8" s="270"/>
      <c r="J8" s="270"/>
      <c r="K8" s="270"/>
    </row>
    <row r="9" spans="2:15" ht="16.5" customHeight="1">
      <c r="B9" s="238" t="s">
        <v>12</v>
      </c>
      <c r="C9" s="265" t="s">
        <v>13</v>
      </c>
      <c r="D9" s="265" t="s">
        <v>13</v>
      </c>
      <c r="E9" s="270"/>
      <c r="F9" s="270"/>
      <c r="H9" s="270"/>
      <c r="I9" s="270"/>
      <c r="J9" s="270"/>
      <c r="K9" s="270"/>
    </row>
    <row r="10" spans="2:15" ht="16.5" customHeight="1">
      <c r="B10" s="238" t="s">
        <v>14</v>
      </c>
      <c r="C10" s="265" t="s">
        <v>15</v>
      </c>
      <c r="D10" s="265" t="s">
        <v>15</v>
      </c>
      <c r="E10" s="270"/>
      <c r="F10" s="270"/>
      <c r="H10" s="270"/>
      <c r="I10" s="270"/>
      <c r="J10" s="270"/>
      <c r="K10" s="270"/>
    </row>
    <row r="11" spans="2:15" ht="16.5" customHeight="1">
      <c r="B11" s="238" t="s">
        <v>16</v>
      </c>
      <c r="C11" s="267" t="s">
        <v>17</v>
      </c>
      <c r="D11" s="267" t="s">
        <v>17</v>
      </c>
      <c r="E11" s="270"/>
      <c r="F11" s="270"/>
      <c r="H11" s="270"/>
      <c r="I11" s="270"/>
      <c r="J11" s="270"/>
      <c r="K11" s="270"/>
    </row>
    <row r="12" spans="2:15" ht="16.5" customHeight="1">
      <c r="B12" s="238" t="s">
        <v>18</v>
      </c>
      <c r="C12" s="268" t="s">
        <v>19</v>
      </c>
      <c r="D12" s="268" t="s">
        <v>19</v>
      </c>
      <c r="E12" s="270"/>
      <c r="F12" s="270"/>
      <c r="H12" s="270"/>
      <c r="I12" s="270"/>
      <c r="J12" s="270"/>
      <c r="K12" s="270"/>
    </row>
    <row r="13" spans="2:15" ht="33" customHeight="1">
      <c r="B13" s="269" t="s">
        <v>20</v>
      </c>
      <c r="C13" s="293" t="s">
        <v>21</v>
      </c>
      <c r="D13" s="294"/>
      <c r="E13" s="270"/>
      <c r="F13" s="270"/>
      <c r="H13" s="274"/>
      <c r="I13" s="277"/>
      <c r="J13" s="277"/>
      <c r="K13" s="108"/>
      <c r="L13" s="108"/>
    </row>
    <row r="14" spans="2:15" ht="33" customHeight="1">
      <c r="B14" s="269" t="s">
        <v>22</v>
      </c>
      <c r="C14" s="293" t="s">
        <v>21</v>
      </c>
      <c r="D14" s="294"/>
      <c r="E14" s="270"/>
      <c r="F14" s="270"/>
      <c r="H14" s="233"/>
      <c r="I14" s="233"/>
      <c r="J14" s="233"/>
      <c r="K14" s="233"/>
      <c r="L14" s="124"/>
      <c r="M14" s="124"/>
      <c r="N14" s="124"/>
      <c r="O14" s="124"/>
    </row>
    <row r="15" spans="2:15" ht="33" customHeight="1">
      <c r="B15" s="269" t="s">
        <v>23</v>
      </c>
      <c r="C15" s="293" t="s">
        <v>24</v>
      </c>
      <c r="D15" s="294"/>
      <c r="E15" s="270"/>
      <c r="F15" s="270"/>
      <c r="H15" s="275"/>
      <c r="I15" s="278"/>
      <c r="J15" s="279"/>
      <c r="K15" s="280"/>
      <c r="L15" s="280"/>
      <c r="M15" s="285"/>
      <c r="N15" s="285"/>
      <c r="O15" s="285"/>
    </row>
    <row r="16" spans="2:15" ht="16.5" customHeight="1">
      <c r="B16" s="270"/>
      <c r="C16" s="270"/>
      <c r="D16" s="270"/>
      <c r="E16" s="270"/>
      <c r="F16" s="270"/>
      <c r="G16" s="270"/>
      <c r="H16" s="275"/>
      <c r="I16" s="281"/>
      <c r="J16" s="279"/>
      <c r="K16" s="280"/>
      <c r="L16" s="280"/>
      <c r="M16" s="285"/>
      <c r="N16" s="285"/>
      <c r="O16" s="285"/>
    </row>
    <row r="17" spans="2:15" ht="25.5" customHeight="1">
      <c r="B17" s="270"/>
      <c r="C17" s="271" t="s">
        <v>25</v>
      </c>
      <c r="D17" s="270"/>
      <c r="E17" s="270"/>
      <c r="F17" s="270"/>
      <c r="G17" s="270"/>
      <c r="H17" s="275"/>
      <c r="I17" s="281"/>
      <c r="J17" s="281"/>
      <c r="K17" s="280"/>
      <c r="L17" s="280"/>
      <c r="M17" s="285"/>
      <c r="N17" s="285"/>
      <c r="O17" s="285"/>
    </row>
    <row r="18" spans="2:15" ht="16.5" customHeight="1">
      <c r="B18" s="272" t="s">
        <v>26</v>
      </c>
      <c r="C18" s="289" t="s">
        <v>27</v>
      </c>
      <c r="D18" s="290"/>
      <c r="E18" s="270"/>
      <c r="F18" s="270"/>
      <c r="G18" s="270"/>
      <c r="H18" s="275"/>
      <c r="I18" s="282"/>
      <c r="J18" s="283"/>
      <c r="K18" s="280"/>
      <c r="L18" s="280"/>
      <c r="M18" s="285"/>
      <c r="N18" s="285"/>
      <c r="O18" s="285"/>
    </row>
    <row r="19" spans="2:15" ht="16.5" customHeight="1">
      <c r="B19" s="272" t="s">
        <v>28</v>
      </c>
      <c r="C19" s="289">
        <v>1007</v>
      </c>
      <c r="D19" s="290"/>
      <c r="E19" s="270"/>
      <c r="F19" s="270"/>
      <c r="G19" s="270"/>
      <c r="H19" s="275"/>
      <c r="I19" s="282"/>
      <c r="J19" s="283"/>
      <c r="K19" s="280"/>
      <c r="L19" s="280"/>
      <c r="M19" s="285"/>
      <c r="N19" s="285"/>
      <c r="O19" s="285"/>
    </row>
    <row r="20" spans="2:15" ht="16.5" customHeight="1">
      <c r="B20" s="273" t="s">
        <v>29</v>
      </c>
      <c r="C20" s="287">
        <v>44337.583333333299</v>
      </c>
      <c r="D20" s="288"/>
      <c r="E20" s="270"/>
      <c r="G20" s="270"/>
      <c r="H20" s="275"/>
      <c r="I20" s="282"/>
      <c r="J20" s="283"/>
      <c r="K20" s="280"/>
      <c r="L20" s="280"/>
      <c r="M20" s="285"/>
      <c r="N20" s="285"/>
      <c r="O20" s="285"/>
    </row>
    <row r="21" spans="2:15" ht="16.5" customHeight="1">
      <c r="B21" s="272" t="s">
        <v>30</v>
      </c>
      <c r="C21" s="289" t="s">
        <v>31</v>
      </c>
      <c r="D21" s="290"/>
      <c r="E21" s="270"/>
      <c r="G21" s="270"/>
      <c r="H21" s="275"/>
      <c r="K21" s="280"/>
      <c r="L21" s="280"/>
      <c r="M21" s="285"/>
      <c r="N21" s="285"/>
      <c r="O21" s="285"/>
    </row>
    <row r="22" spans="2:15" ht="16.5" customHeight="1">
      <c r="B22" s="272" t="s">
        <v>32</v>
      </c>
      <c r="C22" s="289" t="s">
        <v>33</v>
      </c>
      <c r="D22" s="290"/>
      <c r="E22" s="270"/>
      <c r="F22" s="270"/>
      <c r="G22" s="270"/>
      <c r="H22" s="275"/>
      <c r="K22" s="280"/>
      <c r="L22" s="280"/>
      <c r="M22" s="285"/>
      <c r="N22" s="285"/>
      <c r="O22" s="285"/>
    </row>
    <row r="23" spans="2:15" ht="16.5" customHeight="1">
      <c r="B23" s="272" t="s">
        <v>34</v>
      </c>
      <c r="C23" s="291">
        <v>42459</v>
      </c>
      <c r="D23" s="292"/>
      <c r="E23" s="270"/>
      <c r="F23" s="270"/>
      <c r="G23" s="270"/>
      <c r="H23" s="108"/>
      <c r="K23" s="284"/>
      <c r="L23" s="108"/>
    </row>
    <row r="24" spans="2:15" ht="14.25" customHeight="1">
      <c r="B24" s="270"/>
      <c r="C24" s="270"/>
      <c r="D24" s="270"/>
      <c r="E24" s="270"/>
      <c r="F24" s="270"/>
      <c r="G24" s="270"/>
      <c r="H24" s="108"/>
      <c r="I24" s="108"/>
      <c r="J24" s="108"/>
      <c r="K24" s="124"/>
      <c r="L24" s="108"/>
    </row>
    <row r="25" spans="2:15" ht="18.75" customHeight="1">
      <c r="B25" s="270"/>
      <c r="C25" s="270"/>
      <c r="D25" s="270"/>
      <c r="E25" s="270"/>
      <c r="F25" s="270"/>
      <c r="G25" s="270"/>
      <c r="H25" s="232"/>
      <c r="I25" s="232"/>
    </row>
    <row r="26" spans="2:15" ht="16.5" customHeight="1">
      <c r="B26" s="270"/>
      <c r="C26" s="270"/>
      <c r="D26" s="270"/>
      <c r="E26" s="270"/>
      <c r="F26" s="270"/>
      <c r="G26" s="270"/>
      <c r="H26" s="124"/>
      <c r="I26" s="124"/>
    </row>
    <row r="27" spans="2:15" ht="16.5" customHeight="1">
      <c r="B27" s="270"/>
      <c r="C27" s="270"/>
      <c r="D27" s="270"/>
      <c r="E27" s="270"/>
      <c r="F27" s="270"/>
      <c r="G27" s="270"/>
      <c r="H27" s="108"/>
      <c r="I27" s="108"/>
    </row>
    <row r="28" spans="2:15" ht="16.5" customHeight="1">
      <c r="B28" s="270"/>
      <c r="C28" s="270"/>
      <c r="D28" s="270"/>
      <c r="E28" s="270"/>
      <c r="F28" s="270"/>
      <c r="G28" s="270"/>
      <c r="H28" s="276"/>
      <c r="I28" s="276"/>
    </row>
    <row r="29" spans="2:15" ht="16.5" customHeight="1">
      <c r="B29" s="270"/>
      <c r="C29" s="270"/>
      <c r="D29" s="270"/>
      <c r="E29" s="270"/>
      <c r="F29" s="270"/>
      <c r="G29" s="270"/>
      <c r="H29" s="108"/>
      <c r="I29" s="108"/>
    </row>
    <row r="30" spans="2:15" ht="16.5" customHeight="1">
      <c r="B30" s="270"/>
      <c r="C30" s="270"/>
      <c r="D30" s="270"/>
      <c r="E30" s="270"/>
      <c r="F30" s="270"/>
      <c r="G30" s="270"/>
      <c r="H30" s="108"/>
      <c r="I30" s="108"/>
    </row>
    <row r="31" spans="2:15">
      <c r="B31" s="270"/>
      <c r="C31" s="270"/>
      <c r="D31" s="270"/>
      <c r="E31" s="270"/>
      <c r="F31" s="270"/>
      <c r="G31" s="270"/>
    </row>
    <row r="32" spans="2:15">
      <c r="B32" s="270"/>
      <c r="C32" s="270"/>
      <c r="D32" s="270"/>
      <c r="E32" s="270"/>
      <c r="F32" s="270"/>
      <c r="G32" s="270"/>
    </row>
    <row r="33" spans="2:7">
      <c r="B33" s="270"/>
      <c r="C33" s="270"/>
      <c r="D33" s="270"/>
      <c r="E33" s="270"/>
      <c r="F33" s="270"/>
      <c r="G33" s="270"/>
    </row>
    <row r="34" spans="2:7">
      <c r="B34" s="270"/>
      <c r="C34" s="270"/>
      <c r="D34" s="270"/>
      <c r="E34" s="270"/>
      <c r="F34" s="270"/>
      <c r="G34" s="270"/>
    </row>
    <row r="35" spans="2:7">
      <c r="B35" s="270"/>
      <c r="C35" s="270"/>
      <c r="D35" s="270"/>
      <c r="E35" s="270"/>
      <c r="F35" s="270"/>
      <c r="G35" s="270"/>
    </row>
    <row r="36" spans="2:7">
      <c r="B36" s="270"/>
      <c r="C36" s="270"/>
      <c r="D36" s="270"/>
      <c r="E36" s="270"/>
      <c r="F36" s="270"/>
      <c r="G36" s="270"/>
    </row>
    <row r="37" spans="2:7">
      <c r="B37" s="270"/>
      <c r="C37" s="270"/>
      <c r="D37" s="270"/>
      <c r="E37" s="270"/>
      <c r="F37" s="270"/>
      <c r="G37" s="270"/>
    </row>
    <row r="38" spans="2:7">
      <c r="B38" s="270"/>
      <c r="C38" s="270"/>
      <c r="D38" s="270"/>
      <c r="E38" s="270"/>
      <c r="F38" s="270"/>
      <c r="G38" s="270"/>
    </row>
  </sheetData>
  <sheetProtection sheet="1" selectLockedCells="1"/>
  <mergeCells count="9">
    <mergeCell ref="C20:D20"/>
    <mergeCell ref="C21:D21"/>
    <mergeCell ref="C22:D22"/>
    <mergeCell ref="C23:D23"/>
    <mergeCell ref="C13:D13"/>
    <mergeCell ref="C14:D14"/>
    <mergeCell ref="C15:D15"/>
    <mergeCell ref="C18:D18"/>
    <mergeCell ref="C19:D19"/>
  </mergeCells>
  <phoneticPr fontId="24" type="noConversion"/>
  <dataValidations count="1">
    <dataValidation type="date" allowBlank="1" showInputMessage="1" showErrorMessage="1" sqref="C6:D6" xr:uid="{00000000-0002-0000-0000-000000000000}">
      <formula1>41640</formula1>
      <formula2>47484</formula2>
    </dataValidation>
  </dataValidation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1:P43"/>
  <sheetViews>
    <sheetView workbookViewId="0">
      <selection activeCell="C3" sqref="C3"/>
    </sheetView>
  </sheetViews>
  <sheetFormatPr baseColWidth="10" defaultColWidth="9" defaultRowHeight="14"/>
  <cols>
    <col min="1" max="1" width="4.5" style="45" customWidth="1"/>
    <col min="2" max="2" width="7.6640625" style="45" customWidth="1"/>
    <col min="3" max="6" width="7.33203125" style="45" customWidth="1"/>
    <col min="7" max="7" width="11.33203125" style="45" customWidth="1"/>
    <col min="8" max="11" width="7.33203125" style="45" customWidth="1"/>
    <col min="12" max="12" width="11.33203125" style="45" customWidth="1"/>
    <col min="13" max="13" width="6.6640625" style="45" customWidth="1"/>
    <col min="14" max="16" width="9" style="46" hidden="1" customWidth="1"/>
    <col min="17" max="16384" width="9" style="45"/>
  </cols>
  <sheetData>
    <row r="1" spans="2:15">
      <c r="L1" s="58" t="s">
        <v>280</v>
      </c>
    </row>
    <row r="2" spans="2:15" ht="27" customHeight="1">
      <c r="B2" s="399" t="s">
        <v>281</v>
      </c>
      <c r="C2" s="399"/>
    </row>
    <row r="3" spans="2:15" ht="12.75" customHeight="1">
      <c r="B3" s="18"/>
      <c r="C3" s="47"/>
      <c r="D3" s="47"/>
      <c r="E3" s="47"/>
      <c r="F3" s="47"/>
      <c r="G3" s="47"/>
      <c r="H3" s="47"/>
      <c r="I3" s="47"/>
      <c r="J3" s="47"/>
      <c r="K3" s="47"/>
      <c r="L3" s="47"/>
    </row>
    <row r="5" spans="2:15" ht="16.5" customHeight="1">
      <c r="B5" s="23" t="s">
        <v>282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2:15" ht="14.25" customHeight="1"/>
    <row r="7" spans="2:15" ht="15" customHeight="1">
      <c r="B7" s="403" t="s">
        <v>283</v>
      </c>
      <c r="C7" s="406" t="str">
        <f>水尺计算!D3</f>
        <v>MOUNT BOLIVAR</v>
      </c>
      <c r="D7" s="406"/>
      <c r="E7" s="407"/>
      <c r="F7" s="403" t="s">
        <v>284</v>
      </c>
      <c r="G7" s="406" t="str">
        <f>IF(货物信息!C14="","合并货物名称",货物信息!C14)</f>
        <v>铁矿块</v>
      </c>
      <c r="H7" s="406"/>
      <c r="I7" s="407"/>
      <c r="J7" s="59" t="s">
        <v>285</v>
      </c>
      <c r="K7" s="60"/>
      <c r="L7" s="61">
        <f>工作记录!C6</f>
        <v>44337</v>
      </c>
    </row>
    <row r="8" spans="2:15" ht="13.5" customHeight="1">
      <c r="B8" s="404"/>
      <c r="C8" s="408"/>
      <c r="D8" s="408"/>
      <c r="E8" s="409"/>
      <c r="F8" s="404"/>
      <c r="G8" s="408"/>
      <c r="H8" s="408"/>
      <c r="I8" s="409"/>
      <c r="J8" s="62" t="s">
        <v>286</v>
      </c>
      <c r="K8" s="63"/>
      <c r="L8" s="64">
        <f>工作记录!D6</f>
        <v>44339</v>
      </c>
    </row>
    <row r="9" spans="2:15" ht="8.25" customHeight="1"/>
    <row r="10" spans="2:15" ht="16.5" customHeight="1">
      <c r="B10" s="405" t="s">
        <v>287</v>
      </c>
      <c r="C10" s="400" t="s">
        <v>288</v>
      </c>
      <c r="D10" s="400"/>
      <c r="E10" s="400"/>
      <c r="F10" s="400"/>
      <c r="G10" s="400"/>
      <c r="H10" s="400" t="s">
        <v>289</v>
      </c>
      <c r="I10" s="400"/>
      <c r="J10" s="400"/>
      <c r="K10" s="400"/>
      <c r="L10" s="400"/>
    </row>
    <row r="11" spans="2:15" ht="17.25" customHeight="1">
      <c r="B11" s="400"/>
      <c r="C11" s="49" t="s">
        <v>130</v>
      </c>
      <c r="D11" s="401">
        <f>水尺计算!D34</f>
        <v>4.7E-2</v>
      </c>
      <c r="E11" s="402"/>
      <c r="F11" s="49" t="s">
        <v>290</v>
      </c>
      <c r="G11" s="56">
        <f>船用物料!F18</f>
        <v>1.0249999999999999</v>
      </c>
      <c r="H11" s="49" t="s">
        <v>130</v>
      </c>
      <c r="I11" s="401">
        <f>水尺计算!E34</f>
        <v>0.433</v>
      </c>
      <c r="J11" s="402"/>
      <c r="K11" s="49" t="s">
        <v>290</v>
      </c>
      <c r="L11" s="56">
        <f>船用物料!H18</f>
        <v>1.0209999999999999</v>
      </c>
      <c r="N11" s="46">
        <f>N12+O12</f>
        <v>-7</v>
      </c>
    </row>
    <row r="12" spans="2:15" ht="35.25" customHeight="1">
      <c r="B12" s="400"/>
      <c r="C12" s="48" t="s">
        <v>291</v>
      </c>
      <c r="D12" s="48" t="s">
        <v>292</v>
      </c>
      <c r="E12" s="48" t="s">
        <v>293</v>
      </c>
      <c r="F12" s="48" t="s">
        <v>294</v>
      </c>
      <c r="G12" s="48" t="s">
        <v>295</v>
      </c>
      <c r="H12" s="48" t="s">
        <v>291</v>
      </c>
      <c r="I12" s="48" t="s">
        <v>292</v>
      </c>
      <c r="J12" s="48" t="s">
        <v>293</v>
      </c>
      <c r="K12" s="48" t="s">
        <v>294</v>
      </c>
      <c r="L12" s="48" t="s">
        <v>296</v>
      </c>
      <c r="N12" s="46">
        <f>COUNTA(船用物料!C20:C63)-23</f>
        <v>-9</v>
      </c>
      <c r="O12" s="46">
        <f>COUNTA(船用物料!C13:C15)</f>
        <v>2</v>
      </c>
    </row>
    <row r="13" spans="2:15" ht="15.75" customHeight="1">
      <c r="B13" s="50" t="str">
        <f>IF(N$12&gt;N13,船用物料!C43,IF(O13=0,船用物料!C$13,IF(AND(O13=1,O13&lt;O$12),船用物料!C$14,IF(AND(O13=2,O13&lt;O$12),船用物料!C$15,"/"))))</f>
        <v>/</v>
      </c>
      <c r="C13" s="51" t="str">
        <f>IF(N$12&gt;N13,船用物料!E43,IF(AND(O13&gt;=0,O13&lt;O$12),"————","   /"))</f>
        <v xml:space="preserve">   /</v>
      </c>
      <c r="D13" s="51" t="str">
        <f>IF(N$12&gt;N13,船用物料!D43,IF(AND(O13&gt;=0,O13&lt;O$12),"————","   /"))</f>
        <v xml:space="preserve">   /</v>
      </c>
      <c r="E13" s="50" t="s">
        <v>297</v>
      </c>
      <c r="F13" s="50" t="s">
        <v>297</v>
      </c>
      <c r="G13" s="57" t="str">
        <f>IF(N$12&gt;N13,船用物料!F43,IF(O13=0,船用物料!F$13,IF(AND(O13=1,O13&lt;O$12),船用物料!F$14,IF(AND(O13=2,O13&lt;O$12),船用物料!F$15,"     /"))))</f>
        <v xml:space="preserve">     /</v>
      </c>
      <c r="H13" s="51" t="str">
        <f>IF(N$12&gt;N13,船用物料!G43,IF(AND(O13&gt;=0,O13&lt;O$12),"————","   /"))</f>
        <v xml:space="preserve">   /</v>
      </c>
      <c r="I13" s="51" t="str">
        <f>IF(N$12&gt;N13,船用物料!D43,IF(AND(O13&gt;=0,O13&lt;O$12),"————","   /"))</f>
        <v xml:space="preserve">   /</v>
      </c>
      <c r="J13" s="50" t="s">
        <v>297</v>
      </c>
      <c r="K13" s="50" t="s">
        <v>297</v>
      </c>
      <c r="L13" s="57" t="str">
        <f>IF(N$12&gt;N13,船用物料!H43,IF(O13=0,船用物料!H$13,IF(AND(O13=1,O13&lt;O$12),船用物料!H$14,IF(AND(O13=2,O13&lt;O$12),船用物料!H$15,"     /"))))</f>
        <v xml:space="preserve">     /</v>
      </c>
      <c r="N13" s="46">
        <v>0</v>
      </c>
      <c r="O13" s="46">
        <f t="shared" ref="O13:O35" si="0">IF(N13&lt;N$12,-1,N13-N$12)</f>
        <v>9</v>
      </c>
    </row>
    <row r="14" spans="2:15" ht="15.75" customHeight="1">
      <c r="B14" s="50" t="str">
        <f>IF(N$12&gt;N14,船用物料!C44,IF(O14=0,船用物料!C$13,IF(AND(O14=1,O14&lt;O$12),船用物料!C$14,IF(AND(O14=2,O14&lt;O$12),船用物料!C$15,"/"))))</f>
        <v>/</v>
      </c>
      <c r="C14" s="51" t="str">
        <f>IF(N$12&gt;N14,船用物料!E44,IF(AND(O14&gt;=0,O14&lt;O$12),"————","   /"))</f>
        <v xml:space="preserve">   /</v>
      </c>
      <c r="D14" s="51" t="str">
        <f>IF(N$12&gt;N14,船用物料!D44,IF(AND(O14&gt;=0,O14&lt;O$12),"————","   /"))</f>
        <v xml:space="preserve">   /</v>
      </c>
      <c r="E14" s="50" t="s">
        <v>297</v>
      </c>
      <c r="F14" s="50" t="s">
        <v>297</v>
      </c>
      <c r="G14" s="57" t="str">
        <f>IF(N$12&gt;N14,船用物料!F44,IF(O14=0,船用物料!F$13,IF(AND(O14=1,O14&lt;O$12),船用物料!F$14,IF(AND(O14=2,O14&lt;O$12),船用物料!F$15,"     /"))))</f>
        <v xml:space="preserve">     /</v>
      </c>
      <c r="H14" s="51" t="str">
        <f>IF(N$12&gt;N14,船用物料!G44,IF(AND(O14&gt;=0,O14&lt;O$12),"————","   /"))</f>
        <v xml:space="preserve">   /</v>
      </c>
      <c r="I14" s="51" t="str">
        <f>IF(N$12&gt;N14,船用物料!D44,IF(AND(O14&gt;=0,O14&lt;O$12),"————","   /"))</f>
        <v xml:space="preserve">   /</v>
      </c>
      <c r="J14" s="50" t="s">
        <v>297</v>
      </c>
      <c r="K14" s="50" t="s">
        <v>297</v>
      </c>
      <c r="L14" s="57" t="str">
        <f>IF(N$12&gt;N14,船用物料!H44,IF(O14=0,船用物料!H$13,IF(AND(O14=1,O14&lt;O$12),船用物料!H$14,IF(AND(O14=2,O14&lt;O$12),船用物料!H$15,"     /"))))</f>
        <v xml:space="preserve">     /</v>
      </c>
      <c r="N14" s="46">
        <v>1</v>
      </c>
      <c r="O14" s="46">
        <f t="shared" si="0"/>
        <v>10</v>
      </c>
    </row>
    <row r="15" spans="2:15" ht="15.75" customHeight="1">
      <c r="B15" s="50" t="str">
        <f>IF(N$12&gt;N15,船用物料!C45,IF(O15=0,船用物料!C$13,IF(AND(O15=1,O15&lt;O$12),船用物料!C$14,IF(AND(O15=2,O15&lt;O$12),船用物料!C$15,"/"))))</f>
        <v>/</v>
      </c>
      <c r="C15" s="51" t="str">
        <f>IF(N$12&gt;N15,船用物料!E45,IF(AND(O15&gt;=0,O15&lt;O$12),"————","   /"))</f>
        <v xml:space="preserve">   /</v>
      </c>
      <c r="D15" s="51" t="str">
        <f>IF(N$12&gt;N15,船用物料!D45,IF(AND(O15&gt;=0,O15&lt;O$12),"————","   /"))</f>
        <v xml:space="preserve">   /</v>
      </c>
      <c r="E15" s="50" t="s">
        <v>297</v>
      </c>
      <c r="F15" s="50" t="s">
        <v>297</v>
      </c>
      <c r="G15" s="57" t="str">
        <f>IF(N$12&gt;N15,船用物料!F45,IF(O15=0,船用物料!F$13,IF(AND(O15=1,O15&lt;O$12),船用物料!F$14,IF(AND(O15=2,O15&lt;O$12),船用物料!F$15,"     /"))))</f>
        <v xml:space="preserve">     /</v>
      </c>
      <c r="H15" s="51" t="str">
        <f>IF(N$12&gt;N15,船用物料!G45,IF(AND(O15&gt;=0,O15&lt;O$12),"————","   /"))</f>
        <v xml:space="preserve">   /</v>
      </c>
      <c r="I15" s="51" t="str">
        <f>IF(N$12&gt;N15,船用物料!D45,IF(AND(O15&gt;=0,O15&lt;O$12),"————","   /"))</f>
        <v xml:space="preserve">   /</v>
      </c>
      <c r="J15" s="50" t="s">
        <v>297</v>
      </c>
      <c r="K15" s="50" t="s">
        <v>297</v>
      </c>
      <c r="L15" s="57" t="str">
        <f>IF(N$12&gt;N15,船用物料!H45,IF(O15=0,船用物料!H$13,IF(AND(O15=1,O15&lt;O$12),船用物料!H$14,IF(AND(O15=2,O15&lt;O$12),船用物料!H$15,"     /"))))</f>
        <v xml:space="preserve">     /</v>
      </c>
      <c r="N15" s="46">
        <v>2</v>
      </c>
      <c r="O15" s="46">
        <f t="shared" si="0"/>
        <v>11</v>
      </c>
    </row>
    <row r="16" spans="2:15" ht="15.75" customHeight="1">
      <c r="B16" s="50" t="str">
        <f>IF(N$12&gt;N16,船用物料!C46,IF(O16=0,船用物料!C$13,IF(AND(O16=1,O16&lt;O$12),船用物料!C$14,IF(AND(O16=2,O16&lt;O$12),船用物料!C$15,"/"))))</f>
        <v>/</v>
      </c>
      <c r="C16" s="51" t="str">
        <f>IF(N$12&gt;N16,船用物料!E46,IF(AND(O16&gt;=0,O16&lt;O$12),"————","   /"))</f>
        <v xml:space="preserve">   /</v>
      </c>
      <c r="D16" s="51" t="str">
        <f>IF(N$12&gt;N16,船用物料!D46,IF(AND(O16&gt;=0,O16&lt;O$12),"————","   /"))</f>
        <v xml:space="preserve">   /</v>
      </c>
      <c r="E16" s="50" t="s">
        <v>297</v>
      </c>
      <c r="F16" s="50" t="s">
        <v>297</v>
      </c>
      <c r="G16" s="57" t="str">
        <f>IF(N$12&gt;N16,船用物料!F46,IF(O16=0,船用物料!F$13,IF(AND(O16=1,O16&lt;O$12),船用物料!F$14,IF(AND(O16=2,O16&lt;O$12),船用物料!F$15,"     /"))))</f>
        <v xml:space="preserve">     /</v>
      </c>
      <c r="H16" s="51" t="str">
        <f>IF(N$12&gt;N16,船用物料!G46,IF(AND(O16&gt;=0,O16&lt;O$12),"————","   /"))</f>
        <v xml:space="preserve">   /</v>
      </c>
      <c r="I16" s="51" t="str">
        <f>IF(N$12&gt;N16,船用物料!D46,IF(AND(O16&gt;=0,O16&lt;O$12),"————","   /"))</f>
        <v xml:space="preserve">   /</v>
      </c>
      <c r="J16" s="50" t="s">
        <v>297</v>
      </c>
      <c r="K16" s="50" t="s">
        <v>297</v>
      </c>
      <c r="L16" s="57" t="str">
        <f>IF(N$12&gt;N16,船用物料!H46,IF(O16=0,船用物料!H$13,IF(AND(O16=1,O16&lt;O$12),船用物料!H$14,IF(AND(O16=2,O16&lt;O$12),船用物料!H$15,"     /"))))</f>
        <v xml:space="preserve">     /</v>
      </c>
      <c r="N16" s="46">
        <v>3</v>
      </c>
      <c r="O16" s="46">
        <f t="shared" si="0"/>
        <v>12</v>
      </c>
    </row>
    <row r="17" spans="2:15" ht="15.75" customHeight="1">
      <c r="B17" s="50" t="str">
        <f>IF(N$12&gt;N17,船用物料!C47,IF(O17=0,船用物料!C$13,IF(AND(O17=1,O17&lt;O$12),船用物料!C$14,IF(AND(O17=2,O17&lt;O$12),船用物料!C$15,"/"))))</f>
        <v>/</v>
      </c>
      <c r="C17" s="51" t="str">
        <f>IF(N$12&gt;N17,船用物料!E47,IF(AND(O17&gt;=0,O17&lt;O$12),"————","   /"))</f>
        <v xml:space="preserve">   /</v>
      </c>
      <c r="D17" s="51" t="str">
        <f>IF(N$12&gt;N17,船用物料!D47,IF(AND(O17&gt;=0,O17&lt;O$12),"————","   /"))</f>
        <v xml:space="preserve">   /</v>
      </c>
      <c r="E17" s="50" t="s">
        <v>297</v>
      </c>
      <c r="F17" s="50" t="s">
        <v>297</v>
      </c>
      <c r="G17" s="57" t="str">
        <f>IF(N$12&gt;N17,船用物料!F47,IF(O17=0,船用物料!F$13,IF(AND(O17=1,O17&lt;O$12),船用物料!F$14,IF(AND(O17=2,O17&lt;O$12),船用物料!F$15,"     /"))))</f>
        <v xml:space="preserve">     /</v>
      </c>
      <c r="H17" s="51" t="str">
        <f>IF(N$12&gt;N17,船用物料!G47,IF(AND(O17&gt;=0,O17&lt;O$12),"————","   /"))</f>
        <v xml:space="preserve">   /</v>
      </c>
      <c r="I17" s="51" t="str">
        <f>IF(N$12&gt;N17,船用物料!D47,IF(AND(O17&gt;=0,O17&lt;O$12),"————","   /"))</f>
        <v xml:space="preserve">   /</v>
      </c>
      <c r="J17" s="50" t="s">
        <v>297</v>
      </c>
      <c r="K17" s="50" t="s">
        <v>297</v>
      </c>
      <c r="L17" s="57" t="str">
        <f>IF(N$12&gt;N17,船用物料!H47,IF(O17=0,船用物料!H$13,IF(AND(O17=1,O17&lt;O$12),船用物料!H$14,IF(AND(O17=2,O17&lt;O$12),船用物料!H$15,"     /"))))</f>
        <v xml:space="preserve">     /</v>
      </c>
      <c r="N17" s="46">
        <v>4</v>
      </c>
      <c r="O17" s="46">
        <f t="shared" si="0"/>
        <v>13</v>
      </c>
    </row>
    <row r="18" spans="2:15" ht="15.75" customHeight="1">
      <c r="B18" s="50" t="str">
        <f>IF(N$12&gt;N18,船用物料!C48,IF(O18=0,船用物料!C$13,IF(AND(O18=1,O18&lt;O$12),船用物料!C$14,IF(AND(O18=2,O18&lt;O$12),船用物料!C$15,"/"))))</f>
        <v>/</v>
      </c>
      <c r="C18" s="51" t="str">
        <f>IF(N$12&gt;N18,船用物料!E48,IF(AND(O18&gt;=0,O18&lt;O$12),"————","   /"))</f>
        <v xml:space="preserve">   /</v>
      </c>
      <c r="D18" s="51" t="str">
        <f>IF(N$12&gt;N18,船用物料!D48,IF(AND(O18&gt;=0,O18&lt;O$12),"————","   /"))</f>
        <v xml:space="preserve">   /</v>
      </c>
      <c r="E18" s="50" t="s">
        <v>297</v>
      </c>
      <c r="F18" s="50" t="s">
        <v>297</v>
      </c>
      <c r="G18" s="57" t="str">
        <f>IF(N$12&gt;N18,船用物料!F48,IF(O18=0,船用物料!F$13,IF(AND(O18=1,O18&lt;O$12),船用物料!F$14,IF(AND(O18=2,O18&lt;O$12),船用物料!F$15,"     /"))))</f>
        <v xml:space="preserve">     /</v>
      </c>
      <c r="H18" s="51" t="str">
        <f>IF(N$12&gt;N18,船用物料!G48,IF(AND(O18&gt;=0,O18&lt;O$12),"————","   /"))</f>
        <v xml:space="preserve">   /</v>
      </c>
      <c r="I18" s="51" t="str">
        <f>IF(N$12&gt;N18,船用物料!D48,IF(AND(O18&gt;=0,O18&lt;O$12),"————","   /"))</f>
        <v xml:space="preserve">   /</v>
      </c>
      <c r="J18" s="50" t="s">
        <v>297</v>
      </c>
      <c r="K18" s="50" t="s">
        <v>297</v>
      </c>
      <c r="L18" s="57" t="str">
        <f>IF(N$12&gt;N18,船用物料!H48,IF(O18=0,船用物料!H$13,IF(AND(O18=1,O18&lt;O$12),船用物料!H$14,IF(AND(O18=2,O18&lt;O$12),船用物料!H$15,"     /"))))</f>
        <v xml:space="preserve">     /</v>
      </c>
      <c r="N18" s="46">
        <v>5</v>
      </c>
      <c r="O18" s="46">
        <f t="shared" si="0"/>
        <v>14</v>
      </c>
    </row>
    <row r="19" spans="2:15" ht="15.75" customHeight="1">
      <c r="B19" s="50" t="str">
        <f>IF(N$12&gt;N19,船用物料!C49,IF(O19=0,船用物料!C$13,IF(AND(O19=1,O19&lt;O$12),船用物料!C$14,IF(AND(O19=2,O19&lt;O$12),船用物料!C$15,"/"))))</f>
        <v>/</v>
      </c>
      <c r="C19" s="51" t="str">
        <f>IF(N$12&gt;N19,船用物料!E49,IF(AND(O19&gt;=0,O19&lt;O$12),"————","   /"))</f>
        <v xml:space="preserve">   /</v>
      </c>
      <c r="D19" s="51" t="str">
        <f>IF(N$12&gt;N19,船用物料!D49,IF(AND(O19&gt;=0,O19&lt;O$12),"————","   /"))</f>
        <v xml:space="preserve">   /</v>
      </c>
      <c r="E19" s="50" t="s">
        <v>297</v>
      </c>
      <c r="F19" s="50" t="s">
        <v>297</v>
      </c>
      <c r="G19" s="57" t="str">
        <f>IF(N$12&gt;N19,船用物料!F49,IF(O19=0,船用物料!F$13,IF(AND(O19=1,O19&lt;O$12),船用物料!F$14,IF(AND(O19=2,O19&lt;O$12),船用物料!F$15,"     /"))))</f>
        <v xml:space="preserve">     /</v>
      </c>
      <c r="H19" s="51" t="str">
        <f>IF(N$12&gt;N19,船用物料!G49,IF(AND(O19&gt;=0,O19&lt;O$12),"————","   /"))</f>
        <v xml:space="preserve">   /</v>
      </c>
      <c r="I19" s="51" t="str">
        <f>IF(N$12&gt;N19,船用物料!D49,IF(AND(O19&gt;=0,O19&lt;O$12),"————","   /"))</f>
        <v xml:space="preserve">   /</v>
      </c>
      <c r="J19" s="50" t="s">
        <v>297</v>
      </c>
      <c r="K19" s="50" t="s">
        <v>297</v>
      </c>
      <c r="L19" s="57" t="str">
        <f>IF(N$12&gt;N19,船用物料!H49,IF(O19=0,船用物料!H$13,IF(AND(O19=1,O19&lt;O$12),船用物料!H$14,IF(AND(O19=2,O19&lt;O$12),船用物料!H$15,"     /"))))</f>
        <v xml:space="preserve">     /</v>
      </c>
      <c r="N19" s="46">
        <v>6</v>
      </c>
      <c r="O19" s="46">
        <f t="shared" si="0"/>
        <v>15</v>
      </c>
    </row>
    <row r="20" spans="2:15" ht="15.75" customHeight="1">
      <c r="B20" s="50" t="str">
        <f>IF(N$12&gt;N20,船用物料!C50,IF(O20=0,船用物料!C$13,IF(AND(O20=1,O20&lt;O$12),船用物料!C$14,IF(AND(O20=2,O20&lt;O$12),船用物料!C$15,"/"))))</f>
        <v>/</v>
      </c>
      <c r="C20" s="51" t="str">
        <f>IF(N$12&gt;N20,船用物料!E50,IF(AND(O20&gt;=0,O20&lt;O$12),"————","   /"))</f>
        <v xml:space="preserve">   /</v>
      </c>
      <c r="D20" s="51" t="str">
        <f>IF(N$12&gt;N20,船用物料!D50,IF(AND(O20&gt;=0,O20&lt;O$12),"————","   /"))</f>
        <v xml:space="preserve">   /</v>
      </c>
      <c r="E20" s="50" t="s">
        <v>297</v>
      </c>
      <c r="F20" s="50" t="s">
        <v>297</v>
      </c>
      <c r="G20" s="57" t="str">
        <f>IF(N$12&gt;N20,船用物料!F50,IF(O20=0,船用物料!F$13,IF(AND(O20=1,O20&lt;O$12),船用物料!F$14,IF(AND(O20=2,O20&lt;O$12),船用物料!F$15,"     /"))))</f>
        <v xml:space="preserve">     /</v>
      </c>
      <c r="H20" s="51" t="str">
        <f>IF(N$12&gt;N20,船用物料!G50,IF(AND(O20&gt;=0,O20&lt;O$12),"————","   /"))</f>
        <v xml:space="preserve">   /</v>
      </c>
      <c r="I20" s="51" t="str">
        <f>IF(N$12&gt;N20,船用物料!D50,IF(AND(O20&gt;=0,O20&lt;O$12),"————","   /"))</f>
        <v xml:space="preserve">   /</v>
      </c>
      <c r="J20" s="50" t="s">
        <v>297</v>
      </c>
      <c r="K20" s="50" t="s">
        <v>297</v>
      </c>
      <c r="L20" s="57" t="str">
        <f>IF(N$12&gt;N20,船用物料!H50,IF(O20=0,船用物料!H$13,IF(AND(O20=1,O20&lt;O$12),船用物料!H$14,IF(AND(O20=2,O20&lt;O$12),船用物料!H$15,"     /"))))</f>
        <v xml:space="preserve">     /</v>
      </c>
      <c r="N20" s="46">
        <v>7</v>
      </c>
      <c r="O20" s="46">
        <f t="shared" si="0"/>
        <v>16</v>
      </c>
    </row>
    <row r="21" spans="2:15" ht="15.75" customHeight="1">
      <c r="B21" s="50" t="str">
        <f>IF(N$12&gt;N21,船用物料!C51,IF(O21=0,船用物料!C$13,IF(AND(O21=1,O21&lt;O$12),船用物料!C$14,IF(AND(O21=2,O21&lt;O$12),船用物料!C$15,"/"))))</f>
        <v>/</v>
      </c>
      <c r="C21" s="51" t="str">
        <f>IF(N$12&gt;N21,船用物料!E51,IF(AND(O21&gt;=0,O21&lt;O$12),"————","   /"))</f>
        <v xml:space="preserve">   /</v>
      </c>
      <c r="D21" s="51" t="str">
        <f>IF(N$12&gt;N21,船用物料!D51,IF(AND(O21&gt;=0,O21&lt;O$12),"————","   /"))</f>
        <v xml:space="preserve">   /</v>
      </c>
      <c r="E21" s="50" t="s">
        <v>297</v>
      </c>
      <c r="F21" s="50" t="s">
        <v>297</v>
      </c>
      <c r="G21" s="57" t="str">
        <f>IF(N$12&gt;N21,船用物料!F51,IF(O21=0,船用物料!F$13,IF(AND(O21=1,O21&lt;O$12),船用物料!F$14,IF(AND(O21=2,O21&lt;O$12),船用物料!F$15,"     /"))))</f>
        <v xml:space="preserve">     /</v>
      </c>
      <c r="H21" s="51" t="str">
        <f>IF(N$12&gt;N21,船用物料!G51,IF(AND(O21&gt;=0,O21&lt;O$12),"————","   /"))</f>
        <v xml:space="preserve">   /</v>
      </c>
      <c r="I21" s="51" t="str">
        <f>IF(N$12&gt;N21,船用物料!D51,IF(AND(O21&gt;=0,O21&lt;O$12),"————","   /"))</f>
        <v xml:space="preserve">   /</v>
      </c>
      <c r="J21" s="50" t="s">
        <v>297</v>
      </c>
      <c r="K21" s="50" t="s">
        <v>297</v>
      </c>
      <c r="L21" s="57" t="str">
        <f>IF(N$12&gt;N21,船用物料!H51,IF(O21=0,船用物料!H$13,IF(AND(O21=1,O21&lt;O$12),船用物料!H$14,IF(AND(O21=2,O21&lt;O$12),船用物料!H$15,"     /"))))</f>
        <v xml:space="preserve">     /</v>
      </c>
      <c r="N21" s="46">
        <v>8</v>
      </c>
      <c r="O21" s="46">
        <f t="shared" si="0"/>
        <v>17</v>
      </c>
    </row>
    <row r="22" spans="2:15" ht="15.75" customHeight="1">
      <c r="B22" s="50" t="str">
        <f>IF(N$12&gt;N22,船用物料!C52,IF(O22=0,船用物料!C$13,IF(AND(O22=1,O22&lt;O$12),船用物料!C$14,IF(AND(O22=2,O22&lt;O$12),船用物料!C$15,"/"))))</f>
        <v>/</v>
      </c>
      <c r="C22" s="51" t="str">
        <f>IF(N$12&gt;N22,船用物料!E52,IF(AND(O22&gt;=0,O22&lt;O$12),"————","   /"))</f>
        <v xml:space="preserve">   /</v>
      </c>
      <c r="D22" s="51" t="str">
        <f>IF(N$12&gt;N22,船用物料!D52,IF(AND(O22&gt;=0,O22&lt;O$12),"————","   /"))</f>
        <v xml:space="preserve">   /</v>
      </c>
      <c r="E22" s="50" t="s">
        <v>297</v>
      </c>
      <c r="F22" s="50" t="s">
        <v>297</v>
      </c>
      <c r="G22" s="57" t="str">
        <f>IF(N$12&gt;N22,船用物料!F52,IF(O22=0,船用物料!F$13,IF(AND(O22=1,O22&lt;O$12),船用物料!F$14,IF(AND(O22=2,O22&lt;O$12),船用物料!F$15,"     /"))))</f>
        <v xml:space="preserve">     /</v>
      </c>
      <c r="H22" s="51" t="str">
        <f>IF(N$12&gt;N22,船用物料!G52,IF(AND(O22&gt;=0,O22&lt;O$12),"————","   /"))</f>
        <v xml:space="preserve">   /</v>
      </c>
      <c r="I22" s="51" t="str">
        <f>IF(N$12&gt;N22,船用物料!D52,IF(AND(O22&gt;=0,O22&lt;O$12),"————","   /"))</f>
        <v xml:space="preserve">   /</v>
      </c>
      <c r="J22" s="50" t="s">
        <v>297</v>
      </c>
      <c r="K22" s="50" t="s">
        <v>297</v>
      </c>
      <c r="L22" s="57" t="str">
        <f>IF(N$12&gt;N22,船用物料!H52,IF(O22=0,船用物料!H$13,IF(AND(O22=1,O22&lt;O$12),船用物料!H$14,IF(AND(O22=2,O22&lt;O$12),船用物料!H$15,"     /"))))</f>
        <v xml:space="preserve">     /</v>
      </c>
      <c r="N22" s="46">
        <v>9</v>
      </c>
      <c r="O22" s="46">
        <f t="shared" si="0"/>
        <v>18</v>
      </c>
    </row>
    <row r="23" spans="2:15" ht="15.75" customHeight="1">
      <c r="B23" s="50" t="str">
        <f>IF(N$12&gt;N23,船用物料!C53,IF(O23=0,船用物料!C$13,IF(AND(O23=1,O23&lt;O$12),船用物料!C$14,IF(AND(O23=2,O23&lt;O$12),船用物料!C$15,"/"))))</f>
        <v>/</v>
      </c>
      <c r="C23" s="51" t="str">
        <f>IF(N$12&gt;N23,船用物料!E53,IF(AND(O23&gt;=0,O23&lt;O$12),"————","   /"))</f>
        <v xml:space="preserve">   /</v>
      </c>
      <c r="D23" s="51" t="str">
        <f>IF(N$12&gt;N23,船用物料!D53,IF(AND(O23&gt;=0,O23&lt;O$12),"————","   /"))</f>
        <v xml:space="preserve">   /</v>
      </c>
      <c r="E23" s="50" t="s">
        <v>297</v>
      </c>
      <c r="F23" s="50" t="s">
        <v>297</v>
      </c>
      <c r="G23" s="57" t="str">
        <f>IF(N$12&gt;N23,船用物料!F53,IF(O23=0,船用物料!F$13,IF(AND(O23=1,O23&lt;O$12),船用物料!F$14,IF(AND(O23=2,O23&lt;O$12),船用物料!F$15,"     /"))))</f>
        <v xml:space="preserve">     /</v>
      </c>
      <c r="H23" s="51" t="str">
        <f>IF(N$12&gt;N23,船用物料!G53,IF(AND(O23&gt;=0,O23&lt;O$12),"————","   /"))</f>
        <v xml:space="preserve">   /</v>
      </c>
      <c r="I23" s="51" t="str">
        <f>IF(N$12&gt;N23,船用物料!D53,IF(AND(O23&gt;=0,O23&lt;O$12),"————","   /"))</f>
        <v xml:space="preserve">   /</v>
      </c>
      <c r="J23" s="50" t="s">
        <v>297</v>
      </c>
      <c r="K23" s="50" t="s">
        <v>297</v>
      </c>
      <c r="L23" s="57" t="str">
        <f>IF(N$12&gt;N23,船用物料!H53,IF(O23=0,船用物料!H$13,IF(AND(O23=1,O23&lt;O$12),船用物料!H$14,IF(AND(O23=2,O23&lt;O$12),船用物料!H$15,"     /"))))</f>
        <v xml:space="preserve">     /</v>
      </c>
      <c r="N23" s="46">
        <v>10</v>
      </c>
      <c r="O23" s="46">
        <f t="shared" si="0"/>
        <v>19</v>
      </c>
    </row>
    <row r="24" spans="2:15" ht="15.75" customHeight="1">
      <c r="B24" s="50" t="str">
        <f>IF(N$12&gt;N24,船用物料!C54,IF(O24=0,船用物料!C$13,IF(AND(O24=1,O24&lt;O$12),船用物料!C$14,IF(AND(O24=2,O24&lt;O$12),船用物料!C$15,"/"))))</f>
        <v>/</v>
      </c>
      <c r="C24" s="51" t="str">
        <f>IF(N$12&gt;N24,船用物料!E54,IF(AND(O24&gt;=0,O24&lt;O$12),"————","   /"))</f>
        <v xml:space="preserve">   /</v>
      </c>
      <c r="D24" s="51" t="str">
        <f>IF(N$12&gt;N24,船用物料!D54,IF(AND(O24&gt;=0,O24&lt;O$12),"————","   /"))</f>
        <v xml:space="preserve">   /</v>
      </c>
      <c r="E24" s="50" t="s">
        <v>297</v>
      </c>
      <c r="F24" s="50" t="s">
        <v>297</v>
      </c>
      <c r="G24" s="57" t="str">
        <f>IF(N$12&gt;N24,船用物料!F54,IF(O24=0,船用物料!F$13,IF(AND(O24=1,O24&lt;O$12),船用物料!F$14,IF(AND(O24=2,O24&lt;O$12),船用物料!F$15,"     /"))))</f>
        <v xml:space="preserve">     /</v>
      </c>
      <c r="H24" s="51" t="str">
        <f>IF(N$12&gt;N24,船用物料!G54,IF(AND(O24&gt;=0,O24&lt;O$12),"————","   /"))</f>
        <v xml:space="preserve">   /</v>
      </c>
      <c r="I24" s="51" t="str">
        <f>IF(N$12&gt;N24,船用物料!D54,IF(AND(O24&gt;=0,O24&lt;O$12),"————","   /"))</f>
        <v xml:space="preserve">   /</v>
      </c>
      <c r="J24" s="50" t="s">
        <v>297</v>
      </c>
      <c r="K24" s="50" t="s">
        <v>297</v>
      </c>
      <c r="L24" s="57" t="str">
        <f>IF(N$12&gt;N24,船用物料!H54,IF(O24=0,船用物料!H$13,IF(AND(O24=1,O24&lt;O$12),船用物料!H$14,IF(AND(O24=2,O24&lt;O$12),船用物料!H$15,"     /"))))</f>
        <v xml:space="preserve">     /</v>
      </c>
      <c r="N24" s="46">
        <v>11</v>
      </c>
      <c r="O24" s="46">
        <f t="shared" si="0"/>
        <v>20</v>
      </c>
    </row>
    <row r="25" spans="2:15" ht="15.75" customHeight="1">
      <c r="B25" s="50" t="str">
        <f>IF(N$12&gt;N25,船用物料!C55,IF(O25=0,船用物料!C$13,IF(AND(O25=1,O25&lt;O$12),船用物料!C$14,IF(AND(O25=2,O25&lt;O$12),船用物料!C$15,"/"))))</f>
        <v>/</v>
      </c>
      <c r="C25" s="51" t="str">
        <f>IF(N$12&gt;N25,船用物料!E55,IF(AND(O25&gt;=0,O25&lt;O$12),"————","   /"))</f>
        <v xml:space="preserve">   /</v>
      </c>
      <c r="D25" s="51" t="str">
        <f>IF(N$12&gt;N25,船用物料!D55,IF(AND(O25&gt;=0,O25&lt;O$12),"————","   /"))</f>
        <v xml:space="preserve">   /</v>
      </c>
      <c r="E25" s="50" t="s">
        <v>297</v>
      </c>
      <c r="F25" s="50" t="s">
        <v>297</v>
      </c>
      <c r="G25" s="57" t="str">
        <f>IF(N$12&gt;N25,船用物料!F55,IF(O25=0,船用物料!F$13,IF(AND(O25=1,O25&lt;O$12),船用物料!F$14,IF(AND(O25=2,O25&lt;O$12),船用物料!F$15,"     /"))))</f>
        <v xml:space="preserve">     /</v>
      </c>
      <c r="H25" s="51" t="str">
        <f>IF(N$12&gt;N25,船用物料!G55,IF(AND(O25&gt;=0,O25&lt;O$12),"————","   /"))</f>
        <v xml:space="preserve">   /</v>
      </c>
      <c r="I25" s="51" t="str">
        <f>IF(N$12&gt;N25,船用物料!D55,IF(AND(O25&gt;=0,O25&lt;O$12),"————","   /"))</f>
        <v xml:space="preserve">   /</v>
      </c>
      <c r="J25" s="50" t="s">
        <v>297</v>
      </c>
      <c r="K25" s="50" t="s">
        <v>297</v>
      </c>
      <c r="L25" s="57" t="str">
        <f>IF(N$12&gt;N25,船用物料!H55,IF(O25=0,船用物料!H$13,IF(AND(O25=1,O25&lt;O$12),船用物料!H$14,IF(AND(O25=2,O25&lt;O$12),船用物料!H$15,"     /"))))</f>
        <v xml:space="preserve">     /</v>
      </c>
      <c r="N25" s="46">
        <v>12</v>
      </c>
      <c r="O25" s="46">
        <f t="shared" si="0"/>
        <v>21</v>
      </c>
    </row>
    <row r="26" spans="2:15" ht="15.75" customHeight="1">
      <c r="B26" s="50" t="str">
        <f>IF(N$12&gt;N26,船用物料!C56,IF(O26=0,船用物料!C$13,IF(AND(O26=1,O26&lt;O$12),船用物料!C$14,IF(AND(O26=2,O26&lt;O$12),船用物料!C$15,"/"))))</f>
        <v>/</v>
      </c>
      <c r="C26" s="51" t="str">
        <f>IF(N$12&gt;N26,船用物料!E56,IF(AND(O26&gt;=0,O26&lt;O$12),"————","   /"))</f>
        <v xml:space="preserve">   /</v>
      </c>
      <c r="D26" s="51" t="str">
        <f>IF(N$12&gt;N26,船用物料!D56,IF(AND(O26&gt;=0,O26&lt;O$12),"————","   /"))</f>
        <v xml:space="preserve">   /</v>
      </c>
      <c r="E26" s="50" t="s">
        <v>297</v>
      </c>
      <c r="F26" s="50" t="s">
        <v>297</v>
      </c>
      <c r="G26" s="57" t="str">
        <f>IF(N$12&gt;N26,船用物料!F56,IF(O26=0,船用物料!F$13,IF(AND(O26=1,O26&lt;O$12),船用物料!F$14,IF(AND(O26=2,O26&lt;O$12),船用物料!F$15,"     /"))))</f>
        <v xml:space="preserve">     /</v>
      </c>
      <c r="H26" s="51" t="str">
        <f>IF(N$12&gt;N26,船用物料!G56,IF(AND(O26&gt;=0,O26&lt;O$12),"————","   /"))</f>
        <v xml:space="preserve">   /</v>
      </c>
      <c r="I26" s="51" t="str">
        <f>IF(N$12&gt;N26,船用物料!D56,IF(AND(O26&gt;=0,O26&lt;O$12),"————","   /"))</f>
        <v xml:space="preserve">   /</v>
      </c>
      <c r="J26" s="50" t="s">
        <v>297</v>
      </c>
      <c r="K26" s="50" t="s">
        <v>297</v>
      </c>
      <c r="L26" s="57" t="str">
        <f>IF(N$12&gt;N26,船用物料!H56,IF(O26=0,船用物料!H$13,IF(AND(O26=1,O26&lt;O$12),船用物料!H$14,IF(AND(O26=2,O26&lt;O$12),船用物料!H$15,"     /"))))</f>
        <v xml:space="preserve">     /</v>
      </c>
      <c r="N26" s="46">
        <v>13</v>
      </c>
      <c r="O26" s="46">
        <f t="shared" si="0"/>
        <v>22</v>
      </c>
    </row>
    <row r="27" spans="2:15" ht="15.75" customHeight="1">
      <c r="B27" s="50" t="str">
        <f>IF(N$12&gt;N27,船用物料!C57,IF(O27=0,船用物料!C$13,IF(AND(O27=1,O27&lt;O$12),船用物料!C$14,IF(AND(O27=2,O27&lt;O$12),船用物料!C$15,"/"))))</f>
        <v>/</v>
      </c>
      <c r="C27" s="51" t="str">
        <f>IF(N$12&gt;N27,船用物料!E57,IF(AND(O27&gt;=0,O27&lt;O$12),"————","   /"))</f>
        <v xml:space="preserve">   /</v>
      </c>
      <c r="D27" s="51" t="str">
        <f>IF(N$12&gt;N27,船用物料!D57,IF(AND(O27&gt;=0,O27&lt;O$12),"————","   /"))</f>
        <v xml:space="preserve">   /</v>
      </c>
      <c r="E27" s="50" t="s">
        <v>297</v>
      </c>
      <c r="F27" s="50" t="s">
        <v>297</v>
      </c>
      <c r="G27" s="57" t="str">
        <f>IF(N$12&gt;N27,船用物料!F57,IF(O27=0,船用物料!F$13,IF(AND(O27=1,O27&lt;O$12),船用物料!F$14,IF(AND(O27=2,O27&lt;O$12),船用物料!F$15,"     /"))))</f>
        <v xml:space="preserve">     /</v>
      </c>
      <c r="H27" s="51" t="str">
        <f>IF(N$12&gt;N27,船用物料!G57,IF(AND(O27&gt;=0,O27&lt;O$12),"————","   /"))</f>
        <v xml:space="preserve">   /</v>
      </c>
      <c r="I27" s="51" t="str">
        <f>IF(N$12&gt;N27,船用物料!D57,IF(AND(O27&gt;=0,O27&lt;O$12),"————","   /"))</f>
        <v xml:space="preserve">   /</v>
      </c>
      <c r="J27" s="50" t="s">
        <v>297</v>
      </c>
      <c r="K27" s="50" t="s">
        <v>297</v>
      </c>
      <c r="L27" s="57" t="str">
        <f>IF(N$12&gt;N27,船用物料!H57,IF(O27=0,船用物料!H$13,IF(AND(O27=1,O27&lt;O$12),船用物料!H$14,IF(AND(O27=2,O27&lt;O$12),船用物料!H$15,"     /"))))</f>
        <v xml:space="preserve">     /</v>
      </c>
      <c r="N27" s="46">
        <v>14</v>
      </c>
      <c r="O27" s="46">
        <f t="shared" si="0"/>
        <v>23</v>
      </c>
    </row>
    <row r="28" spans="2:15" ht="15.75" customHeight="1">
      <c r="B28" s="50" t="str">
        <f>IF(N$12&gt;N28,船用物料!C58,IF(O28=0,船用物料!C$13,IF(AND(O28=1,O28&lt;O$12),船用物料!C$14,IF(AND(O28=2,O28&lt;O$12),船用物料!C$15,"/"))))</f>
        <v>/</v>
      </c>
      <c r="C28" s="51" t="str">
        <f>IF(N$12&gt;N28,船用物料!E58,IF(AND(O28&gt;=0,O28&lt;O$12),"————","   /"))</f>
        <v xml:space="preserve">   /</v>
      </c>
      <c r="D28" s="51" t="str">
        <f>IF(N$12&gt;N28,船用物料!D58,IF(AND(O28&gt;=0,O28&lt;O$12),"————","   /"))</f>
        <v xml:space="preserve">   /</v>
      </c>
      <c r="E28" s="50" t="s">
        <v>297</v>
      </c>
      <c r="F28" s="50" t="s">
        <v>297</v>
      </c>
      <c r="G28" s="57" t="str">
        <f>IF(N$12&gt;N28,船用物料!F58,IF(O28=0,船用物料!F$13,IF(AND(O28=1,O28&lt;O$12),船用物料!F$14,IF(AND(O28=2,O28&lt;O$12),船用物料!F$15,"     /"))))</f>
        <v xml:space="preserve">     /</v>
      </c>
      <c r="H28" s="51" t="str">
        <f>IF(N$12&gt;N28,船用物料!G58,IF(AND(O28&gt;=0,O28&lt;O$12),"————","   /"))</f>
        <v xml:space="preserve">   /</v>
      </c>
      <c r="I28" s="51" t="str">
        <f>IF(N$12&gt;N28,船用物料!D58,IF(AND(O28&gt;=0,O28&lt;O$12),"————","   /"))</f>
        <v xml:space="preserve">   /</v>
      </c>
      <c r="J28" s="50" t="s">
        <v>297</v>
      </c>
      <c r="K28" s="50" t="s">
        <v>297</v>
      </c>
      <c r="L28" s="57" t="str">
        <f>IF(N$12&gt;N28,船用物料!H58,IF(O28=0,船用物料!H$13,IF(AND(O28=1,O28&lt;O$12),船用物料!H$14,IF(AND(O28=2,O28&lt;O$12),船用物料!H$15,"     /"))))</f>
        <v xml:space="preserve">     /</v>
      </c>
      <c r="N28" s="46">
        <v>15</v>
      </c>
      <c r="O28" s="46">
        <f t="shared" si="0"/>
        <v>24</v>
      </c>
    </row>
    <row r="29" spans="2:15" ht="15.75" customHeight="1">
      <c r="B29" s="50" t="str">
        <f>IF(N$12&gt;N29,船用物料!C59,IF(O29=0,船用物料!C$13,IF(AND(O29=1,O29&lt;O$12),船用物料!C$14,IF(AND(O29=2,O29&lt;O$12),船用物料!C$15,"/"))))</f>
        <v>/</v>
      </c>
      <c r="C29" s="51" t="str">
        <f>IF(N$12&gt;N29,船用物料!E59,IF(AND(O29&gt;=0,O29&lt;O$12),"————","   /"))</f>
        <v xml:space="preserve">   /</v>
      </c>
      <c r="D29" s="51" t="str">
        <f>IF(N$12&gt;N29,船用物料!D59,IF(AND(O29&gt;=0,O29&lt;O$12),"————","   /"))</f>
        <v xml:space="preserve">   /</v>
      </c>
      <c r="E29" s="50" t="s">
        <v>297</v>
      </c>
      <c r="F29" s="50" t="s">
        <v>297</v>
      </c>
      <c r="G29" s="57" t="str">
        <f>IF(N$12&gt;N29,船用物料!F59,IF(O29=0,船用物料!F$13,IF(AND(O29=1,O29&lt;O$12),船用物料!F$14,IF(AND(O29=2,O29&lt;O$12),船用物料!F$15,"     /"))))</f>
        <v xml:space="preserve">     /</v>
      </c>
      <c r="H29" s="51" t="str">
        <f>IF(N$12&gt;N29,船用物料!G59,IF(AND(O29&gt;=0,O29&lt;O$12),"————","   /"))</f>
        <v xml:space="preserve">   /</v>
      </c>
      <c r="I29" s="51" t="str">
        <f>IF(N$12&gt;N29,船用物料!D59,IF(AND(O29&gt;=0,O29&lt;O$12),"————","   /"))</f>
        <v xml:space="preserve">   /</v>
      </c>
      <c r="J29" s="50" t="s">
        <v>297</v>
      </c>
      <c r="K29" s="50" t="s">
        <v>297</v>
      </c>
      <c r="L29" s="57" t="str">
        <f>IF(N$12&gt;N29,船用物料!H59,IF(O29=0,船用物料!H$13,IF(AND(O29=1,O29&lt;O$12),船用物料!H$14,IF(AND(O29=2,O29&lt;O$12),船用物料!H$15,"     /"))))</f>
        <v xml:space="preserve">     /</v>
      </c>
      <c r="N29" s="46">
        <v>16</v>
      </c>
      <c r="O29" s="46">
        <f t="shared" si="0"/>
        <v>25</v>
      </c>
    </row>
    <row r="30" spans="2:15" ht="15.75" customHeight="1">
      <c r="B30" s="50" t="str">
        <f>IF(N$12&gt;N30,船用物料!C60,IF(O30=0,船用物料!C$13,IF(AND(O30=1,O30&lt;O$12),船用物料!C$14,IF(AND(O30=2,O30&lt;O$12),船用物料!C$15,"/"))))</f>
        <v>/</v>
      </c>
      <c r="C30" s="51" t="str">
        <f>IF(N$12&gt;N30,船用物料!E60,IF(AND(O30&gt;=0,O30&lt;O$12),"————","   /"))</f>
        <v xml:space="preserve">   /</v>
      </c>
      <c r="D30" s="51" t="str">
        <f>IF(N$12&gt;N30,船用物料!D60,IF(AND(O30&gt;=0,O30&lt;O$12),"————","   /"))</f>
        <v xml:space="preserve">   /</v>
      </c>
      <c r="E30" s="50" t="s">
        <v>297</v>
      </c>
      <c r="F30" s="50" t="s">
        <v>297</v>
      </c>
      <c r="G30" s="57" t="str">
        <f>IF(N$12&gt;N30,船用物料!F60,IF(O30=0,船用物料!F$13,IF(AND(O30=1,O30&lt;O$12),船用物料!F$14,IF(AND(O30=2,O30&lt;O$12),船用物料!F$15,"     /"))))</f>
        <v xml:space="preserve">     /</v>
      </c>
      <c r="H30" s="51" t="str">
        <f>IF(N$12&gt;N30,船用物料!G60,IF(AND(O30&gt;=0,O30&lt;O$12),"————","   /"))</f>
        <v xml:space="preserve">   /</v>
      </c>
      <c r="I30" s="51" t="str">
        <f>IF(N$12&gt;N30,船用物料!D60,IF(AND(O30&gt;=0,O30&lt;O$12),"————","   /"))</f>
        <v xml:space="preserve">   /</v>
      </c>
      <c r="J30" s="50" t="s">
        <v>297</v>
      </c>
      <c r="K30" s="50" t="s">
        <v>297</v>
      </c>
      <c r="L30" s="57" t="str">
        <f>IF(N$12&gt;N30,船用物料!H60,IF(O30=0,船用物料!H$13,IF(AND(O30=1,O30&lt;O$12),船用物料!H$14,IF(AND(O30=2,O30&lt;O$12),船用物料!H$15,"     /"))))</f>
        <v xml:space="preserve">     /</v>
      </c>
      <c r="N30" s="46">
        <v>17</v>
      </c>
      <c r="O30" s="46">
        <f t="shared" si="0"/>
        <v>26</v>
      </c>
    </row>
    <row r="31" spans="2:15" ht="15.75" customHeight="1">
      <c r="B31" s="50" t="str">
        <f>IF(N$12&gt;N31,船用物料!C61,IF(O31=0,船用物料!C$13,IF(AND(O31=1,O31&lt;O$12),船用物料!C$14,IF(AND(O31=2,O31&lt;O$12),船用物料!C$15,"/"))))</f>
        <v>/</v>
      </c>
      <c r="C31" s="51" t="str">
        <f>IF(N$12&gt;N31,船用物料!E61,IF(AND(O31&gt;=0,O31&lt;O$12),"————","   /"))</f>
        <v xml:space="preserve">   /</v>
      </c>
      <c r="D31" s="51" t="str">
        <f>IF(N$12&gt;N31,船用物料!D61,IF(AND(O31&gt;=0,O31&lt;O$12),"————","   /"))</f>
        <v xml:space="preserve">   /</v>
      </c>
      <c r="E31" s="50" t="s">
        <v>297</v>
      </c>
      <c r="F31" s="50" t="s">
        <v>297</v>
      </c>
      <c r="G31" s="57" t="str">
        <f>IF(N$12&gt;N31,船用物料!F61,IF(O31=0,船用物料!F$13,IF(AND(O31=1,O31&lt;O$12),船用物料!F$14,IF(AND(O31=2,O31&lt;O$12),船用物料!F$15,"     /"))))</f>
        <v xml:space="preserve">     /</v>
      </c>
      <c r="H31" s="51" t="str">
        <f>IF(N$12&gt;N31,船用物料!G61,IF(AND(O31&gt;=0,O31&lt;O$12),"————","   /"))</f>
        <v xml:space="preserve">   /</v>
      </c>
      <c r="I31" s="51" t="str">
        <f>IF(N$12&gt;N31,船用物料!D61,IF(AND(O31&gt;=0,O31&lt;O$12),"————","   /"))</f>
        <v xml:space="preserve">   /</v>
      </c>
      <c r="J31" s="50" t="s">
        <v>297</v>
      </c>
      <c r="K31" s="50" t="s">
        <v>297</v>
      </c>
      <c r="L31" s="57" t="str">
        <f>IF(N$12&gt;N31,船用物料!H61,IF(O31=0,船用物料!H$13,IF(AND(O31=1,O31&lt;O$12),船用物料!H$14,IF(AND(O31=2,O31&lt;O$12),船用物料!H$15,"     /"))))</f>
        <v xml:space="preserve">     /</v>
      </c>
      <c r="N31" s="46">
        <v>18</v>
      </c>
      <c r="O31" s="46">
        <f t="shared" si="0"/>
        <v>27</v>
      </c>
    </row>
    <row r="32" spans="2:15" ht="15.75" customHeight="1">
      <c r="B32" s="50" t="str">
        <f>IF(N$12&gt;N32,船用物料!C62,IF(O32=0,船用物料!C$13,IF(AND(O32=1,O32&lt;O$12),船用物料!C$14,IF(AND(O32=2,O32&lt;O$12),船用物料!C$15,"/"))))</f>
        <v>/</v>
      </c>
      <c r="C32" s="51" t="str">
        <f>IF(N$12&gt;N32,船用物料!E62,IF(AND(O32&gt;=0,O32&lt;O$12),"————","   /"))</f>
        <v xml:space="preserve">   /</v>
      </c>
      <c r="D32" s="51" t="str">
        <f>IF(N$12&gt;N32,船用物料!D62,IF(AND(O32&gt;=0,O32&lt;O$12),"————","   /"))</f>
        <v xml:space="preserve">   /</v>
      </c>
      <c r="E32" s="50" t="s">
        <v>297</v>
      </c>
      <c r="F32" s="50" t="s">
        <v>297</v>
      </c>
      <c r="G32" s="57" t="str">
        <f>IF(N$12&gt;N32,船用物料!F62,IF(O32=0,船用物料!F$13,IF(AND(O32=1,O32&lt;O$12),船用物料!F$14,IF(AND(O32=2,O32&lt;O$12),船用物料!F$15,"     /"))))</f>
        <v xml:space="preserve">     /</v>
      </c>
      <c r="H32" s="51" t="str">
        <f>IF(N$12&gt;N32,船用物料!G62,IF(AND(O32&gt;=0,O32&lt;O$12),"————","   /"))</f>
        <v xml:space="preserve">   /</v>
      </c>
      <c r="I32" s="51" t="str">
        <f>IF(N$12&gt;N32,船用物料!D62,IF(AND(O32&gt;=0,O32&lt;O$12),"————","   /"))</f>
        <v xml:space="preserve">   /</v>
      </c>
      <c r="J32" s="50" t="s">
        <v>297</v>
      </c>
      <c r="K32" s="50" t="s">
        <v>297</v>
      </c>
      <c r="L32" s="57" t="str">
        <f>IF(N$12&gt;N32,船用物料!H62,IF(O32=0,船用物料!H$13,IF(AND(O32=1,O32&lt;O$12),船用物料!H$14,IF(AND(O32=2,O32&lt;O$12),船用物料!H$15,"     /"))))</f>
        <v xml:space="preserve">     /</v>
      </c>
      <c r="N32" s="46">
        <v>19</v>
      </c>
      <c r="O32" s="46">
        <f t="shared" si="0"/>
        <v>28</v>
      </c>
    </row>
    <row r="33" spans="2:16" ht="15.75" customHeight="1">
      <c r="B33" s="50" t="str">
        <f>IF(N$12&gt;N33,船用物料!C63,IF(O33=0,船用物料!C$13,IF(AND(O33=1,O33&lt;O$12),船用物料!C$14,IF(AND(O33=2,O33&lt;O$12),船用物料!C$15,"/"))))</f>
        <v>/</v>
      </c>
      <c r="C33" s="51" t="str">
        <f>IF(N$12&gt;N33,船用物料!E63,IF(AND(O33&gt;=0,O33&lt;O$12),"————","   /"))</f>
        <v xml:space="preserve">   /</v>
      </c>
      <c r="D33" s="51" t="str">
        <f>IF(N$12&gt;N33,船用物料!D63,IF(AND(O33&gt;=0,O33&lt;O$12),"————","   /"))</f>
        <v xml:space="preserve">   /</v>
      </c>
      <c r="E33" s="50" t="s">
        <v>297</v>
      </c>
      <c r="F33" s="50" t="s">
        <v>297</v>
      </c>
      <c r="G33" s="57" t="str">
        <f>IF(N$12&gt;N33,船用物料!F63,IF(O33=0,船用物料!F$13,IF(AND(O33=1,O33&lt;O$12),船用物料!F$14,IF(AND(O33=2,O33&lt;O$12),船用物料!F$15,"     /"))))</f>
        <v xml:space="preserve">     /</v>
      </c>
      <c r="H33" s="51" t="str">
        <f>IF(N$12&gt;N33,船用物料!G63,IF(AND(O33&gt;=0,O33&lt;O$12),"————","   /"))</f>
        <v xml:space="preserve">   /</v>
      </c>
      <c r="I33" s="51" t="str">
        <f>IF(N$12&gt;N33,船用物料!D63,IF(AND(O33&gt;=0,O33&lt;O$12),"————","   /"))</f>
        <v xml:space="preserve">   /</v>
      </c>
      <c r="J33" s="50" t="s">
        <v>297</v>
      </c>
      <c r="K33" s="50" t="s">
        <v>297</v>
      </c>
      <c r="L33" s="57" t="str">
        <f>IF(N$12&gt;N33,船用物料!H63,IF(O33=0,船用物料!H$13,IF(AND(O33=1,O33&lt;O$12),船用物料!H$14,IF(AND(O33=2,O33&lt;O$12),船用物料!H$15,"     /"))))</f>
        <v xml:space="preserve">     /</v>
      </c>
      <c r="N33" s="46">
        <v>20</v>
      </c>
      <c r="O33" s="46">
        <f t="shared" si="0"/>
        <v>29</v>
      </c>
    </row>
    <row r="34" spans="2:16" ht="15.75" customHeight="1">
      <c r="B34" s="50" t="str">
        <f>IF(N$12&gt;N34,船用物料!C64,IF(O34=0,船用物料!C$13,IF(AND(O34=1,O34&lt;O$12),船用物料!C$14,IF(AND(O34=2,O34&lt;O$12),船用物料!C$15,"/"))))</f>
        <v>/</v>
      </c>
      <c r="C34" s="51" t="str">
        <f>IF(N$12&gt;N34,船用物料!E64,IF(AND(O34&gt;=0,O34&lt;O$12),"————","   /"))</f>
        <v xml:space="preserve">   /</v>
      </c>
      <c r="D34" s="51" t="str">
        <f>IF(N$12&gt;N34,船用物料!D64,IF(AND(O34&gt;=0,O34&lt;O$12),"————","   /"))</f>
        <v xml:space="preserve">   /</v>
      </c>
      <c r="E34" s="50" t="s">
        <v>297</v>
      </c>
      <c r="F34" s="50" t="s">
        <v>297</v>
      </c>
      <c r="G34" s="57" t="str">
        <f>IF(N$12&gt;N34,船用物料!F64,IF(O34=0,船用物料!F$13,IF(AND(O34=1,O34&lt;O$12),船用物料!F$14,IF(AND(O34=2,O34&lt;O$12),船用物料!F$15,"     /"))))</f>
        <v xml:space="preserve">     /</v>
      </c>
      <c r="H34" s="51" t="str">
        <f>IF(N$12&gt;N34,船用物料!G64,IF(AND(O34&gt;=0,O34&lt;O$12),"————","   /"))</f>
        <v xml:space="preserve">   /</v>
      </c>
      <c r="I34" s="51" t="str">
        <f>IF(N$12&gt;N34,船用物料!D64,IF(AND(O34&gt;=0,O34&lt;O$12),"————","   /"))</f>
        <v xml:space="preserve">   /</v>
      </c>
      <c r="J34" s="50" t="s">
        <v>297</v>
      </c>
      <c r="K34" s="50" t="s">
        <v>297</v>
      </c>
      <c r="L34" s="57" t="str">
        <f>IF(N$12&gt;N34,船用物料!H64,IF(O34=0,船用物料!H$13,IF(AND(O34=1,O34&lt;O$12),船用物料!H$14,IF(AND(O34=2,O34&lt;O$12),船用物料!H$15,"     /"))))</f>
        <v xml:space="preserve">     /</v>
      </c>
      <c r="N34" s="46">
        <v>21</v>
      </c>
      <c r="O34" s="46">
        <f t="shared" si="0"/>
        <v>30</v>
      </c>
    </row>
    <row r="35" spans="2:16" ht="15.75" customHeight="1">
      <c r="B35" s="50" t="str">
        <f>IF(N$12&gt;N35,船用物料!C65,IF(O35=0,船用物料!C$13,IF(AND(O35=1,O35&lt;O$12),船用物料!C$14,IF(AND(O35=2,O35&lt;O$12),船用物料!C$15,"/"))))</f>
        <v>/</v>
      </c>
      <c r="C35" s="51" t="str">
        <f>IF(N$12&gt;N35,船用物料!E65,IF(AND(O35&gt;=0,O35&lt;O$12),"————","   /"))</f>
        <v xml:space="preserve">   /</v>
      </c>
      <c r="D35" s="51" t="str">
        <f>IF(N$12&gt;N35,船用物料!D65,IF(AND(O35&gt;=0,O35&lt;O$12),"————","   /"))</f>
        <v xml:space="preserve">   /</v>
      </c>
      <c r="E35" s="50" t="s">
        <v>297</v>
      </c>
      <c r="F35" s="50" t="s">
        <v>297</v>
      </c>
      <c r="G35" s="57" t="str">
        <f>IF(N$12&gt;N35,船用物料!F65,IF(O35=0,船用物料!F$13,IF(AND(O35=1,O35&lt;O$12),船用物料!F$14,IF(AND(O35=2,O35&lt;O$12),船用物料!F$15,"     /"))))</f>
        <v xml:space="preserve">     /</v>
      </c>
      <c r="H35" s="51" t="str">
        <f>IF(N$12&gt;N35,船用物料!G65,IF(AND(O35&gt;=0,O35&lt;O$12),"————","   /"))</f>
        <v xml:space="preserve">   /</v>
      </c>
      <c r="I35" s="51" t="str">
        <f>IF(N$12&gt;N35,船用物料!D65,IF(AND(O35&gt;=0,O35&lt;O$12),"————","   /"))</f>
        <v xml:space="preserve">   /</v>
      </c>
      <c r="J35" s="50" t="s">
        <v>297</v>
      </c>
      <c r="K35" s="50" t="s">
        <v>297</v>
      </c>
      <c r="L35" s="57" t="str">
        <f>IF(N$12&gt;N35,船用物料!H65,IF(O35=0,船用物料!H$13,IF(AND(O35=1,O35&lt;O$12),船用物料!H$14,IF(AND(O35=2,O35&lt;O$12),船用物料!H$15,"     /"))))</f>
        <v xml:space="preserve">     /</v>
      </c>
      <c r="N35" s="46">
        <v>22</v>
      </c>
      <c r="O35" s="46">
        <f t="shared" si="0"/>
        <v>31</v>
      </c>
    </row>
    <row r="36" spans="2:16" ht="15.75" customHeight="1">
      <c r="B36" s="345" t="s">
        <v>53</v>
      </c>
      <c r="C36" s="52" t="s">
        <v>145</v>
      </c>
      <c r="D36" s="53"/>
      <c r="E36" s="410">
        <f>船用物料!F65</f>
        <v>575</v>
      </c>
      <c r="F36" s="411"/>
      <c r="G36" s="412"/>
      <c r="H36" s="52" t="s">
        <v>145</v>
      </c>
      <c r="I36" s="53"/>
      <c r="J36" s="410">
        <f>船用物料!H65</f>
        <v>575</v>
      </c>
      <c r="K36" s="411"/>
      <c r="L36" s="412"/>
    </row>
    <row r="37" spans="2:16" ht="15.75" customHeight="1">
      <c r="B37" s="345"/>
      <c r="C37" s="52" t="s">
        <v>298</v>
      </c>
      <c r="D37" s="53"/>
      <c r="E37" s="413" t="str">
        <f>IF(MOD(船用物料!F16,1)&gt;0,船用物料!F16&amp;" MT",船用物料!F16&amp;".0 MT")</f>
        <v>286.0 MT</v>
      </c>
      <c r="F37" s="414"/>
      <c r="G37" s="415"/>
      <c r="H37" s="52" t="s">
        <v>298</v>
      </c>
      <c r="I37" s="53"/>
      <c r="J37" s="416" t="str">
        <f>IF(MOD(船用物料!H16,1)&gt;0,船用物料!H16&amp;" MT",船用物料!H16&amp;".0 MT")</f>
        <v>275.0 MT</v>
      </c>
      <c r="K37" s="417"/>
      <c r="L37" s="418"/>
    </row>
    <row r="38" spans="2:16" ht="15.75" customHeight="1">
      <c r="B38" s="345"/>
      <c r="C38" s="52" t="s">
        <v>299</v>
      </c>
      <c r="D38" s="53"/>
      <c r="E38" s="413" t="str">
        <f>IF(N38&lt;2,O40,IF(N38&lt;3,O40&amp;"+"&amp;O41&amp;"="&amp;O43,O40&amp;"+"&amp;O41&amp;"+"&amp;O42&amp;"="&amp;O43))&amp;" MT"</f>
        <v>1626.4+249.1+47.1=1922.6 MT</v>
      </c>
      <c r="F38" s="414"/>
      <c r="G38" s="415"/>
      <c r="H38" s="52" t="s">
        <v>299</v>
      </c>
      <c r="I38" s="53"/>
      <c r="J38" s="416" t="str">
        <f>IF(N38&lt;2,P40,IF(N38&lt;3,P40&amp;"+"&amp;P41&amp;"="&amp;P43,P40&amp;"+"&amp;P41&amp;"+"&amp;P42&amp;"="&amp;P43))&amp;" MT"</f>
        <v>1626.4+245.1+47.1=1918.6 MT</v>
      </c>
      <c r="K38" s="417"/>
      <c r="L38" s="418"/>
      <c r="N38" s="46">
        <f>COUNTA(船用物料!F7:F9)</f>
        <v>3</v>
      </c>
    </row>
    <row r="39" spans="2:16" ht="55.5" customHeight="1">
      <c r="B39" s="25" t="s">
        <v>169</v>
      </c>
      <c r="C39" s="400" t="str">
        <f>船用物料!E66</f>
        <v>无</v>
      </c>
      <c r="D39" s="400"/>
      <c r="E39" s="400"/>
      <c r="F39" s="400"/>
      <c r="G39" s="400"/>
      <c r="H39" s="400"/>
      <c r="I39" s="400"/>
      <c r="J39" s="400"/>
      <c r="K39" s="400"/>
      <c r="L39" s="400"/>
    </row>
    <row r="40" spans="2:16" ht="16.5" customHeight="1">
      <c r="B40" s="54"/>
      <c r="C40" s="55" t="s">
        <v>275</v>
      </c>
      <c r="D40" s="55"/>
      <c r="E40" s="54"/>
      <c r="F40" s="54"/>
      <c r="G40" s="54"/>
      <c r="H40" s="54" t="s">
        <v>300</v>
      </c>
      <c r="I40" s="54"/>
      <c r="J40" s="54"/>
      <c r="K40" s="54"/>
      <c r="L40" s="54"/>
      <c r="O40" s="46">
        <f>IF(ISERR(FIND(".",船用物料!F7)),船用物料!F7&amp;".0",船用物料!F7)</f>
        <v>1626.4</v>
      </c>
      <c r="P40" s="46">
        <f>IF(ISERR(FIND(".",船用物料!H7)),船用物料!H7&amp;".0",船用物料!H7)</f>
        <v>1626.4</v>
      </c>
    </row>
    <row r="41" spans="2:16" ht="23.25" customHeight="1">
      <c r="O41" s="46">
        <f>IF(ISERR(FIND(".",船用物料!F8)),船用物料!F8&amp;".0",船用物料!F8)</f>
        <v>249.1</v>
      </c>
      <c r="P41" s="46">
        <f>IF(ISERR(FIND(".",船用物料!H8)),船用物料!H8&amp;".0",船用物料!H8)</f>
        <v>245.1</v>
      </c>
    </row>
    <row r="42" spans="2:16">
      <c r="B42" s="18" t="s">
        <v>302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O42" s="46">
        <f>IF(ISERR(FIND(".",船用物料!F9)),船用物料!F9&amp;".0",船用物料!F9)</f>
        <v>47.1</v>
      </c>
      <c r="P42" s="46">
        <f>IF(ISERR(FIND(".",船用物料!H9)),船用物料!H9&amp;".0",船用物料!H9)</f>
        <v>47.1</v>
      </c>
    </row>
    <row r="43" spans="2:16">
      <c r="O43" s="46">
        <f>IF(ISERR(FIND(".",船用物料!F10)),船用物料!F10&amp;".0",船用物料!F10)</f>
        <v>1922.6</v>
      </c>
      <c r="P43" s="46">
        <f>IF(ISERR(FIND(".",船用物料!H10)),船用物料!H10&amp;".0",船用物料!H10)</f>
        <v>1918.6</v>
      </c>
    </row>
  </sheetData>
  <sheetProtection selectLockedCells="1"/>
  <mergeCells count="18">
    <mergeCell ref="C39:L39"/>
    <mergeCell ref="B7:B8"/>
    <mergeCell ref="B10:B12"/>
    <mergeCell ref="B36:B38"/>
    <mergeCell ref="F7:F8"/>
    <mergeCell ref="G7:I8"/>
    <mergeCell ref="C7:E8"/>
    <mergeCell ref="E36:G36"/>
    <mergeCell ref="J36:L36"/>
    <mergeCell ref="E37:G37"/>
    <mergeCell ref="J37:L37"/>
    <mergeCell ref="E38:G38"/>
    <mergeCell ref="J38:L38"/>
    <mergeCell ref="B2:C2"/>
    <mergeCell ref="C10:G10"/>
    <mergeCell ref="H10:L10"/>
    <mergeCell ref="D11:E11"/>
    <mergeCell ref="I11:J11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B1:I38"/>
  <sheetViews>
    <sheetView workbookViewId="0">
      <selection activeCell="D3" sqref="D3"/>
    </sheetView>
  </sheetViews>
  <sheetFormatPr baseColWidth="10" defaultColWidth="9" defaultRowHeight="14"/>
  <cols>
    <col min="1" max="1" width="4.5" style="21" customWidth="1"/>
    <col min="2" max="2" width="13.5" style="21" customWidth="1"/>
    <col min="3" max="3" width="14.1640625" style="21" customWidth="1"/>
    <col min="4" max="4" width="15.1640625" style="21" customWidth="1"/>
    <col min="5" max="6" width="14.6640625" style="21" customWidth="1"/>
    <col min="7" max="7" width="17" style="21" customWidth="1"/>
    <col min="8" max="8" width="6.6640625" style="21" customWidth="1"/>
    <col min="9" max="16384" width="9" style="21"/>
  </cols>
  <sheetData>
    <row r="1" spans="2:9" ht="12.75" customHeight="1">
      <c r="G1" s="32" t="s">
        <v>280</v>
      </c>
    </row>
    <row r="3" spans="2:9">
      <c r="B3" s="18" t="s">
        <v>303</v>
      </c>
      <c r="C3" s="18"/>
      <c r="D3" s="22"/>
      <c r="E3" s="18"/>
      <c r="F3" s="18"/>
      <c r="G3" s="18"/>
    </row>
    <row r="5" spans="2:9" ht="18.75" customHeight="1">
      <c r="B5" s="23" t="s">
        <v>304</v>
      </c>
      <c r="C5" s="23"/>
      <c r="D5" s="23"/>
      <c r="E5" s="23"/>
      <c r="F5" s="23"/>
      <c r="G5" s="23"/>
    </row>
    <row r="7" spans="2:9" ht="15.75" customHeight="1">
      <c r="B7" s="24" t="s">
        <v>283</v>
      </c>
      <c r="C7" s="419" t="str">
        <f>水尺计算!D3</f>
        <v>MOUNT BOLIVAR</v>
      </c>
      <c r="D7" s="419"/>
      <c r="E7" s="24" t="s">
        <v>305</v>
      </c>
      <c r="F7" s="33">
        <f>工作记录!C6</f>
        <v>44337</v>
      </c>
      <c r="G7" s="34">
        <f>工作记录!D6</f>
        <v>44339</v>
      </c>
      <c r="I7" s="44">
        <f>IF(G7-F7=0,0.5,G7-F7)</f>
        <v>2</v>
      </c>
    </row>
    <row r="8" spans="2:9" ht="22.5" customHeight="1">
      <c r="B8" s="420" t="s">
        <v>306</v>
      </c>
      <c r="C8" s="420"/>
      <c r="D8" s="420"/>
      <c r="E8" s="420"/>
      <c r="F8" s="420"/>
      <c r="G8" s="420"/>
    </row>
    <row r="9" spans="2:9" ht="20.25" customHeight="1">
      <c r="B9" s="346"/>
      <c r="C9" s="346" t="s">
        <v>307</v>
      </c>
      <c r="D9" s="346" t="s">
        <v>308</v>
      </c>
      <c r="E9" s="346" t="s">
        <v>309</v>
      </c>
      <c r="F9" s="346"/>
      <c r="G9" s="346" t="s">
        <v>310</v>
      </c>
    </row>
    <row r="10" spans="2:9" ht="19.5" customHeight="1">
      <c r="B10" s="346"/>
      <c r="C10" s="346"/>
      <c r="D10" s="346"/>
      <c r="E10" s="25" t="s">
        <v>311</v>
      </c>
      <c r="F10" s="25" t="s">
        <v>312</v>
      </c>
      <c r="G10" s="346"/>
    </row>
    <row r="11" spans="2:9" ht="22.5" customHeight="1">
      <c r="B11" s="26" t="s">
        <v>313</v>
      </c>
      <c r="C11" s="27">
        <f>水尺计算!D64</f>
        <v>1922.6</v>
      </c>
      <c r="D11" s="27">
        <f>水尺计算!E64</f>
        <v>1918.6</v>
      </c>
      <c r="E11" s="35" t="str">
        <f t="shared" ref="E11:E13" si="0">IF(D11&gt;C11,D11-C11,"/")</f>
        <v>/</v>
      </c>
      <c r="F11" s="35">
        <f t="shared" ref="F11:F13" si="1">IF(C11&gt;D11,C11-D11,"/")</f>
        <v>4</v>
      </c>
      <c r="G11" s="25" t="str">
        <f>IF(船用物料!G10&lt;=0,"消耗","加燃油"&amp;船用物料!G10&amp;"吨")</f>
        <v>消耗</v>
      </c>
    </row>
    <row r="12" spans="2:9" ht="22.5" customHeight="1">
      <c r="B12" s="26" t="s">
        <v>314</v>
      </c>
      <c r="C12" s="27">
        <f>水尺计算!D65</f>
        <v>286</v>
      </c>
      <c r="D12" s="27">
        <f>水尺计算!E65</f>
        <v>275</v>
      </c>
      <c r="E12" s="35" t="str">
        <f t="shared" si="0"/>
        <v>/</v>
      </c>
      <c r="F12" s="35">
        <f t="shared" si="1"/>
        <v>11</v>
      </c>
      <c r="G12" s="25" t="str">
        <f>IF(船用物料!G16&lt;=0,"消耗","加淡水"&amp;船用物料!G16&amp;"吨")</f>
        <v>消耗</v>
      </c>
    </row>
    <row r="13" spans="2:9" ht="22.5" customHeight="1">
      <c r="B13" s="26" t="s">
        <v>315</v>
      </c>
      <c r="C13" s="27">
        <f>水尺计算!D66</f>
        <v>575</v>
      </c>
      <c r="D13" s="27">
        <f>水尺计算!E66</f>
        <v>575</v>
      </c>
      <c r="E13" s="35" t="str">
        <f t="shared" si="0"/>
        <v>/</v>
      </c>
      <c r="F13" s="35" t="str">
        <f t="shared" si="1"/>
        <v>/</v>
      </c>
      <c r="G13" s="25" t="str">
        <f>IF(C13&gt;D13,"泵出",IF(C13&lt;D13,"泵入","未变动"))</f>
        <v>未变动</v>
      </c>
    </row>
    <row r="14" spans="2:9" ht="22.5" customHeight="1">
      <c r="B14" s="26" t="s">
        <v>316</v>
      </c>
      <c r="C14" s="27">
        <f>水尺计算!D67</f>
        <v>0</v>
      </c>
      <c r="D14" s="27">
        <f>水尺计算!E67</f>
        <v>0</v>
      </c>
      <c r="E14" s="25" t="s">
        <v>297</v>
      </c>
      <c r="F14" s="25" t="s">
        <v>297</v>
      </c>
      <c r="G14" s="25" t="s">
        <v>297</v>
      </c>
    </row>
    <row r="15" spans="2:9" ht="21.75" customHeight="1">
      <c r="B15" s="25" t="s">
        <v>297</v>
      </c>
      <c r="C15" s="25" t="s">
        <v>297</v>
      </c>
      <c r="D15" s="25" t="s">
        <v>297</v>
      </c>
      <c r="E15" s="25" t="s">
        <v>297</v>
      </c>
      <c r="F15" s="25" t="s">
        <v>297</v>
      </c>
      <c r="G15" s="25" t="s">
        <v>297</v>
      </c>
    </row>
    <row r="16" spans="2:9" ht="22.5" customHeight="1">
      <c r="B16" s="26" t="s">
        <v>317</v>
      </c>
      <c r="C16" s="27">
        <f>水尺计算!D68</f>
        <v>2783.6</v>
      </c>
      <c r="D16" s="27">
        <f>水尺计算!E68</f>
        <v>2768.6</v>
      </c>
      <c r="E16" s="35" t="str">
        <f>IF(D16&gt;C16,D16-C16,"/")</f>
        <v>/</v>
      </c>
      <c r="F16" s="35">
        <f>IF(C16&gt;D16,C16-D16,"/")</f>
        <v>15</v>
      </c>
      <c r="G16" s="25" t="s">
        <v>297</v>
      </c>
    </row>
    <row r="17" spans="2:7" ht="24" customHeight="1">
      <c r="B17" s="420" t="s">
        <v>318</v>
      </c>
      <c r="C17" s="420"/>
      <c r="D17" s="420"/>
      <c r="E17" s="420"/>
      <c r="F17" s="420"/>
      <c r="G17" s="420"/>
    </row>
    <row r="18" spans="2:7" ht="22.5" customHeight="1">
      <c r="B18" s="421" t="s">
        <v>319</v>
      </c>
      <c r="C18" s="421"/>
      <c r="D18" s="421"/>
      <c r="E18" s="422">
        <f>水尺计算!D62</f>
        <v>206245.3</v>
      </c>
      <c r="F18" s="422"/>
      <c r="G18" s="422"/>
    </row>
    <row r="19" spans="2:7" ht="22.5" customHeight="1">
      <c r="B19" s="421" t="s">
        <v>320</v>
      </c>
      <c r="C19" s="421"/>
      <c r="D19" s="421"/>
      <c r="E19" s="422">
        <f>水尺计算!E62</f>
        <v>123582.3</v>
      </c>
      <c r="F19" s="422"/>
      <c r="G19" s="422"/>
    </row>
    <row r="20" spans="2:7" ht="19.5" customHeight="1">
      <c r="B20" s="421" t="s">
        <v>321</v>
      </c>
      <c r="C20" s="421"/>
      <c r="D20" s="421"/>
      <c r="E20" s="423">
        <f>水尺计算!E71</f>
        <v>82648</v>
      </c>
      <c r="F20" s="423"/>
      <c r="G20" s="423"/>
    </row>
    <row r="21" spans="2:7" ht="22.5" customHeight="1">
      <c r="B21" s="424" t="s">
        <v>322</v>
      </c>
      <c r="C21" s="424"/>
      <c r="D21" s="424"/>
      <c r="E21" s="424" t="s">
        <v>323</v>
      </c>
      <c r="F21" s="424"/>
      <c r="G21" s="424"/>
    </row>
    <row r="22" spans="2:7" ht="15" customHeight="1">
      <c r="B22" s="421" t="s">
        <v>324</v>
      </c>
      <c r="C22" s="421"/>
      <c r="D22" s="421"/>
      <c r="E22" s="36" t="s">
        <v>325</v>
      </c>
      <c r="F22" s="37"/>
      <c r="G22" s="38"/>
    </row>
    <row r="23" spans="2:7" ht="15" customHeight="1">
      <c r="B23" s="421"/>
      <c r="C23" s="421"/>
      <c r="D23" s="421"/>
      <c r="E23" s="39" t="s">
        <v>326</v>
      </c>
      <c r="F23" s="40" t="s">
        <v>327</v>
      </c>
      <c r="G23" s="41" t="s">
        <v>259</v>
      </c>
    </row>
    <row r="24" spans="2:7" ht="15" customHeight="1">
      <c r="B24" s="421" t="s">
        <v>328</v>
      </c>
      <c r="C24" s="421"/>
      <c r="D24" s="421"/>
      <c r="E24" s="433" t="s">
        <v>329</v>
      </c>
      <c r="F24" s="434"/>
      <c r="G24" s="435"/>
    </row>
    <row r="25" spans="2:7" ht="15" customHeight="1">
      <c r="B25" s="421"/>
      <c r="C25" s="421"/>
      <c r="D25" s="421"/>
      <c r="E25" s="39" t="s">
        <v>326</v>
      </c>
      <c r="F25" s="40" t="s">
        <v>327</v>
      </c>
      <c r="G25" s="41" t="s">
        <v>259</v>
      </c>
    </row>
    <row r="26" spans="2:7" ht="15" customHeight="1">
      <c r="B26" s="421" t="s">
        <v>330</v>
      </c>
      <c r="C26" s="421"/>
      <c r="D26" s="421"/>
      <c r="E26" s="433" t="s">
        <v>331</v>
      </c>
      <c r="F26" s="434"/>
      <c r="G26" s="435"/>
    </row>
    <row r="27" spans="2:7" ht="15" customHeight="1">
      <c r="B27" s="421"/>
      <c r="C27" s="421"/>
      <c r="D27" s="421"/>
      <c r="E27" s="39" t="s">
        <v>326</v>
      </c>
      <c r="F27" s="40" t="s">
        <v>327</v>
      </c>
      <c r="G27" s="41" t="s">
        <v>259</v>
      </c>
    </row>
    <row r="28" spans="2:7" ht="22.5" customHeight="1">
      <c r="B28" s="421" t="s">
        <v>332</v>
      </c>
      <c r="C28" s="421"/>
      <c r="D28" s="421"/>
      <c r="E28" s="349" t="s">
        <v>333</v>
      </c>
      <c r="F28" s="350"/>
      <c r="G28" s="42">
        <f>ROUND(船用物料!I16/$I$7,1)</f>
        <v>5.5</v>
      </c>
    </row>
    <row r="29" spans="2:7" ht="22.5" customHeight="1">
      <c r="B29" s="421" t="s">
        <v>334</v>
      </c>
      <c r="C29" s="421"/>
      <c r="D29" s="421"/>
      <c r="E29" s="349" t="s">
        <v>335</v>
      </c>
      <c r="F29" s="350"/>
      <c r="G29" s="42">
        <f>ROUND(船用物料!I10/$I$7,1)</f>
        <v>2</v>
      </c>
    </row>
    <row r="30" spans="2:7" ht="21.75" customHeight="1">
      <c r="B30" s="346"/>
      <c r="C30" s="346"/>
      <c r="D30" s="346"/>
      <c r="E30" s="28" t="s">
        <v>336</v>
      </c>
      <c r="F30" s="29"/>
      <c r="G30" s="43">
        <f>货物信息!E13</f>
        <v>81750</v>
      </c>
    </row>
    <row r="31" spans="2:7" ht="22.5" customHeight="1">
      <c r="B31" s="427" t="s">
        <v>337</v>
      </c>
      <c r="C31" s="428"/>
      <c r="D31" s="429"/>
      <c r="E31" s="430" t="s">
        <v>338</v>
      </c>
      <c r="F31" s="430"/>
      <c r="G31" s="430"/>
    </row>
    <row r="32" spans="2:7" ht="21.75" customHeight="1">
      <c r="B32" s="28" t="s">
        <v>339</v>
      </c>
      <c r="C32" s="431" t="str">
        <f>IF(水尺计算!D6="","               /",水尺计算!D6)</f>
        <v xml:space="preserve">               /</v>
      </c>
      <c r="D32" s="432"/>
      <c r="E32" s="425" t="str">
        <f>工作记录!C15</f>
        <v>本港减载，下一港江阴。</v>
      </c>
      <c r="F32" s="425"/>
      <c r="G32" s="425"/>
    </row>
    <row r="33" spans="2:7" ht="23.25" customHeight="1">
      <c r="B33" s="28" t="s">
        <v>340</v>
      </c>
      <c r="C33" s="431">
        <f>水尺计算!D7</f>
        <v>25359</v>
      </c>
      <c r="D33" s="432"/>
      <c r="E33" s="425"/>
      <c r="F33" s="425"/>
      <c r="G33" s="425"/>
    </row>
    <row r="34" spans="2:7" ht="21.75" customHeight="1">
      <c r="B34" s="28" t="s">
        <v>341</v>
      </c>
      <c r="C34" s="29"/>
      <c r="D34" s="30">
        <f>水尺计算!D8</f>
        <v>531</v>
      </c>
      <c r="E34" s="425"/>
      <c r="F34" s="425"/>
      <c r="G34" s="425"/>
    </row>
    <row r="35" spans="2:7" ht="22.5" customHeight="1">
      <c r="B35" s="28" t="s">
        <v>342</v>
      </c>
      <c r="C35" s="29"/>
      <c r="D35" s="30" t="str">
        <f>IF(水尺计算!E72/5&gt;D34,"——",水尺计算!E72)</f>
        <v>——</v>
      </c>
      <c r="E35" s="426"/>
      <c r="F35" s="426"/>
      <c r="G35" s="426"/>
    </row>
    <row r="36" spans="2:7" ht="21" customHeight="1">
      <c r="B36" s="24" t="s">
        <v>275</v>
      </c>
      <c r="C36" s="31"/>
      <c r="D36" s="31"/>
      <c r="E36" s="24" t="s">
        <v>276</v>
      </c>
      <c r="F36" s="31"/>
      <c r="G36" s="31"/>
    </row>
    <row r="37" spans="2:7" ht="18.75" customHeight="1"/>
    <row r="38" spans="2:7">
      <c r="B38" s="18" t="s">
        <v>208</v>
      </c>
      <c r="C38" s="20"/>
      <c r="D38" s="20"/>
      <c r="E38" s="20"/>
      <c r="F38" s="20"/>
      <c r="G38" s="20"/>
    </row>
  </sheetData>
  <sheetProtection selectLockedCells="1"/>
  <mergeCells count="31">
    <mergeCell ref="B22:D23"/>
    <mergeCell ref="E32:G35"/>
    <mergeCell ref="B26:D27"/>
    <mergeCell ref="B24:D25"/>
    <mergeCell ref="B30:D30"/>
    <mergeCell ref="B31:D31"/>
    <mergeCell ref="E31:G31"/>
    <mergeCell ref="C32:D32"/>
    <mergeCell ref="C33:D33"/>
    <mergeCell ref="E24:G24"/>
    <mergeCell ref="E26:G26"/>
    <mergeCell ref="B28:D28"/>
    <mergeCell ref="E28:F28"/>
    <mergeCell ref="B29:D29"/>
    <mergeCell ref="E29:F29"/>
    <mergeCell ref="B19:D19"/>
    <mergeCell ref="E19:G19"/>
    <mergeCell ref="B20:D20"/>
    <mergeCell ref="E20:G20"/>
    <mergeCell ref="B21:D21"/>
    <mergeCell ref="E21:G21"/>
    <mergeCell ref="C7:D7"/>
    <mergeCell ref="B8:G8"/>
    <mergeCell ref="E9:F9"/>
    <mergeCell ref="B17:G17"/>
    <mergeCell ref="B18:D18"/>
    <mergeCell ref="E18:G18"/>
    <mergeCell ref="B9:B10"/>
    <mergeCell ref="C9:C10"/>
    <mergeCell ref="D9:D10"/>
    <mergeCell ref="G9:G10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Check Box 1025">
              <controlPr defaultSize="0" autoPict="0">
                <anchor moveWithCells="1">
                  <from>
                    <xdr:col>1</xdr:col>
                    <xdr:colOff>25400</xdr:colOff>
                    <xdr:row>21</xdr:row>
                    <xdr:rowOff>50800</xdr:rowOff>
                  </from>
                  <to>
                    <xdr:col>2</xdr:col>
                    <xdr:colOff>254000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4" name="Check Box 1026">
              <controlPr defaultSize="0" autoPict="0">
                <anchor moveWithCells="1">
                  <from>
                    <xdr:col>1</xdr:col>
                    <xdr:colOff>25400</xdr:colOff>
                    <xdr:row>23</xdr:row>
                    <xdr:rowOff>50800</xdr:rowOff>
                  </from>
                  <to>
                    <xdr:col>2</xdr:col>
                    <xdr:colOff>254000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Check Box 1027">
              <controlPr defaultSize="0" autoPict="0">
                <anchor moveWithCells="1">
                  <from>
                    <xdr:col>1</xdr:col>
                    <xdr:colOff>25400</xdr:colOff>
                    <xdr:row>25</xdr:row>
                    <xdr:rowOff>50800</xdr:rowOff>
                  </from>
                  <to>
                    <xdr:col>2</xdr:col>
                    <xdr:colOff>254000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6" name="Check Box 1028">
              <controlPr defaultSize="0" autoPict="0">
                <anchor moveWithCells="1">
                  <from>
                    <xdr:col>1</xdr:col>
                    <xdr:colOff>25400</xdr:colOff>
                    <xdr:row>27</xdr:row>
                    <xdr:rowOff>12700</xdr:rowOff>
                  </from>
                  <to>
                    <xdr:col>2</xdr:col>
                    <xdr:colOff>254000</xdr:colOff>
                    <xdr:row>27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7" name="Check Box 1029">
              <controlPr defaultSize="0" autoPict="0">
                <anchor moveWithCells="1">
                  <from>
                    <xdr:col>1</xdr:col>
                    <xdr:colOff>25400</xdr:colOff>
                    <xdr:row>28</xdr:row>
                    <xdr:rowOff>12700</xdr:rowOff>
                  </from>
                  <to>
                    <xdr:col>2</xdr:col>
                    <xdr:colOff>254000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8" name="Check Box 1035">
              <controlPr defaultSize="0" autoPict="0">
                <anchor moveWithCells="1">
                  <from>
                    <xdr:col>5</xdr:col>
                    <xdr:colOff>254000</xdr:colOff>
                    <xdr:row>26</xdr:row>
                    <xdr:rowOff>12700</xdr:rowOff>
                  </from>
                  <to>
                    <xdr:col>5</xdr:col>
                    <xdr:colOff>368300</xdr:colOff>
                    <xdr:row>26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9" name="Check Box 1036">
              <controlPr defaultSize="0" autoPict="0">
                <anchor moveWithCells="1">
                  <from>
                    <xdr:col>5</xdr:col>
                    <xdr:colOff>254000</xdr:colOff>
                    <xdr:row>24</xdr:row>
                    <xdr:rowOff>12700</xdr:rowOff>
                  </from>
                  <to>
                    <xdr:col>5</xdr:col>
                    <xdr:colOff>368300</xdr:colOff>
                    <xdr:row>24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" name="Check Box 1038">
              <controlPr defaultSize="0" autoPict="0">
                <anchor moveWithCells="1">
                  <from>
                    <xdr:col>4</xdr:col>
                    <xdr:colOff>127000</xdr:colOff>
                    <xdr:row>24</xdr:row>
                    <xdr:rowOff>25400</xdr:rowOff>
                  </from>
                  <to>
                    <xdr:col>4</xdr:col>
                    <xdr:colOff>241300</xdr:colOff>
                    <xdr:row>24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1" name="Check Box 1039">
              <controlPr defaultSize="0" autoPict="0">
                <anchor moveWithCells="1">
                  <from>
                    <xdr:col>5</xdr:col>
                    <xdr:colOff>254000</xdr:colOff>
                    <xdr:row>22</xdr:row>
                    <xdr:rowOff>12700</xdr:rowOff>
                  </from>
                  <to>
                    <xdr:col>5</xdr:col>
                    <xdr:colOff>368300</xdr:colOff>
                    <xdr:row>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2" name="Check Box 1040">
              <controlPr defaultSize="0" autoPict="0">
                <anchor moveWithCells="1">
                  <from>
                    <xdr:col>4</xdr:col>
                    <xdr:colOff>127000</xdr:colOff>
                    <xdr:row>22</xdr:row>
                    <xdr:rowOff>25400</xdr:rowOff>
                  </from>
                  <to>
                    <xdr:col>4</xdr:col>
                    <xdr:colOff>241300</xdr:colOff>
                    <xdr:row>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3" name="Check Box 1041">
              <controlPr defaultSize="0" autoPict="0">
                <anchor moveWithCells="1">
                  <from>
                    <xdr:col>4</xdr:col>
                    <xdr:colOff>127000</xdr:colOff>
                    <xdr:row>26</xdr:row>
                    <xdr:rowOff>12700</xdr:rowOff>
                  </from>
                  <to>
                    <xdr:col>4</xdr:col>
                    <xdr:colOff>241300</xdr:colOff>
                    <xdr:row>26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81"/>
  <sheetViews>
    <sheetView topLeftCell="A16" zoomScale="90" zoomScaleNormal="90" workbookViewId="0">
      <selection activeCell="C2" sqref="C2"/>
    </sheetView>
  </sheetViews>
  <sheetFormatPr baseColWidth="10" defaultColWidth="9" defaultRowHeight="14"/>
  <cols>
    <col min="1" max="1" width="4.5" style="1" customWidth="1"/>
    <col min="2" max="2" width="4.33203125" style="1" customWidth="1"/>
    <col min="3" max="3" width="13.1640625" style="1" customWidth="1"/>
    <col min="4" max="4" width="8.83203125" style="1" customWidth="1"/>
    <col min="5" max="5" width="9.33203125" style="1" customWidth="1"/>
    <col min="6" max="6" width="15.6640625" style="1" customWidth="1"/>
    <col min="7" max="7" width="9.1640625" style="1" customWidth="1"/>
    <col min="8" max="8" width="15.6640625" style="1" customWidth="1"/>
    <col min="9" max="9" width="9.1640625" style="1" customWidth="1"/>
    <col min="10" max="10" width="6.6640625" style="1" customWidth="1"/>
    <col min="11" max="16384" width="9" style="1"/>
  </cols>
  <sheetData>
    <row r="1" spans="2:9" ht="15.75" customHeight="1">
      <c r="I1" s="17" t="s">
        <v>280</v>
      </c>
    </row>
    <row r="2" spans="2:9" ht="15" customHeight="1">
      <c r="C2" s="2" t="s">
        <v>343</v>
      </c>
    </row>
    <row r="3" spans="2:9" ht="15.75" customHeight="1">
      <c r="B3" s="436"/>
      <c r="C3" s="436"/>
      <c r="D3" s="436"/>
      <c r="E3" s="436"/>
      <c r="F3" s="436"/>
      <c r="G3" s="436"/>
      <c r="H3" s="436"/>
      <c r="I3" s="436"/>
    </row>
    <row r="4" spans="2:9" ht="11.25" customHeight="1">
      <c r="B4" s="436"/>
      <c r="C4" s="436"/>
      <c r="D4" s="436"/>
      <c r="E4" s="436"/>
      <c r="F4" s="436"/>
      <c r="G4" s="436"/>
      <c r="H4" s="436"/>
      <c r="I4" s="436"/>
    </row>
    <row r="5" spans="2:9" ht="16.5" customHeight="1">
      <c r="B5" s="437" t="s">
        <v>344</v>
      </c>
      <c r="C5" s="438"/>
      <c r="D5" s="438"/>
      <c r="E5" s="438"/>
      <c r="F5" s="438"/>
      <c r="G5" s="438"/>
      <c r="H5" s="438"/>
      <c r="I5" s="438"/>
    </row>
    <row r="6" spans="2:9" ht="12" customHeight="1">
      <c r="B6" s="436" t="s">
        <v>345</v>
      </c>
      <c r="C6" s="436"/>
      <c r="D6" s="436"/>
      <c r="E6" s="436"/>
      <c r="F6" s="436"/>
      <c r="G6" s="436"/>
      <c r="H6" s="436"/>
      <c r="I6" s="436"/>
    </row>
    <row r="7" spans="2:9" ht="15" customHeight="1"/>
    <row r="8" spans="2:9" ht="12" customHeight="1">
      <c r="B8" s="3" t="s">
        <v>346</v>
      </c>
      <c r="C8" s="4"/>
      <c r="D8" s="451" t="str">
        <f>水尺计算!D3</f>
        <v>MOUNT BOLIVAR</v>
      </c>
      <c r="E8" s="451"/>
      <c r="F8" s="451"/>
      <c r="G8" s="9" t="s">
        <v>200</v>
      </c>
      <c r="H8" s="452" t="str">
        <f>货物信息!C14</f>
        <v>铁矿块</v>
      </c>
      <c r="I8" s="452"/>
    </row>
    <row r="9" spans="2:9" ht="12" customHeight="1">
      <c r="B9" s="3" t="s">
        <v>347</v>
      </c>
      <c r="C9" s="4"/>
      <c r="D9" s="451"/>
      <c r="E9" s="451"/>
      <c r="F9" s="451"/>
      <c r="G9" s="10" t="s">
        <v>348</v>
      </c>
      <c r="H9" s="452"/>
      <c r="I9" s="452"/>
    </row>
    <row r="10" spans="2:9" ht="12" customHeight="1">
      <c r="B10" s="4"/>
      <c r="C10" s="4"/>
      <c r="D10" s="4"/>
      <c r="E10" s="439" t="s">
        <v>349</v>
      </c>
      <c r="F10" s="439"/>
      <c r="G10" s="4"/>
      <c r="H10" s="439" t="s">
        <v>350</v>
      </c>
      <c r="I10" s="439"/>
    </row>
    <row r="11" spans="2:9" ht="10.5" customHeight="1">
      <c r="B11" s="4"/>
      <c r="C11" s="4"/>
      <c r="D11" s="4"/>
      <c r="E11" s="439" t="s">
        <v>351</v>
      </c>
      <c r="F11" s="439"/>
      <c r="G11" s="4"/>
      <c r="H11" s="439" t="s">
        <v>352</v>
      </c>
      <c r="I11" s="439"/>
    </row>
    <row r="12" spans="2:9" ht="12" customHeight="1">
      <c r="B12" s="4" t="s">
        <v>353</v>
      </c>
      <c r="C12" s="4"/>
      <c r="D12" s="4"/>
      <c r="E12" s="440" t="s">
        <v>354</v>
      </c>
      <c r="F12" s="440"/>
      <c r="G12" s="4"/>
      <c r="H12" s="440" t="s">
        <v>354</v>
      </c>
      <c r="I12" s="440"/>
    </row>
    <row r="13" spans="2:9" ht="11.25" customHeight="1">
      <c r="B13" s="4" t="s">
        <v>355</v>
      </c>
      <c r="C13" s="4"/>
      <c r="D13" s="4"/>
      <c r="E13" s="441">
        <f>工作记录!C6</f>
        <v>44337</v>
      </c>
      <c r="F13" s="441"/>
      <c r="G13" s="4"/>
      <c r="H13" s="441">
        <f>工作记录!D6</f>
        <v>44339</v>
      </c>
      <c r="I13" s="441"/>
    </row>
    <row r="14" spans="2:9" ht="4.5" customHeight="1">
      <c r="B14" s="4"/>
      <c r="C14" s="4"/>
      <c r="D14" s="4"/>
      <c r="E14" s="4"/>
      <c r="F14" s="4"/>
      <c r="G14" s="4"/>
      <c r="H14" s="4"/>
      <c r="I14" s="4"/>
    </row>
    <row r="15" spans="2:9" ht="12" customHeight="1">
      <c r="B15" s="4" t="s">
        <v>356</v>
      </c>
      <c r="C15" s="4"/>
      <c r="D15" s="4"/>
      <c r="E15" s="4"/>
      <c r="F15" s="4"/>
      <c r="G15" s="4"/>
      <c r="H15" s="4"/>
      <c r="I15" s="4"/>
    </row>
    <row r="16" spans="2:9" ht="11.25" customHeight="1">
      <c r="B16" s="5" t="s">
        <v>357</v>
      </c>
      <c r="C16" s="4"/>
      <c r="D16" s="4"/>
      <c r="E16" s="4"/>
      <c r="F16" s="4">
        <f>水尺计算!D39</f>
        <v>1.0209999999999999</v>
      </c>
      <c r="G16" s="5" t="s">
        <v>358</v>
      </c>
      <c r="H16" s="4">
        <f>水尺计算!E39</f>
        <v>1.0209999999999999</v>
      </c>
      <c r="I16" s="5" t="s">
        <v>358</v>
      </c>
    </row>
    <row r="17" spans="2:9" ht="3.75" customHeight="1">
      <c r="B17" s="4"/>
      <c r="C17" s="4"/>
      <c r="D17" s="4"/>
      <c r="E17" s="4"/>
      <c r="F17" s="4"/>
      <c r="G17" s="4"/>
      <c r="H17" s="4"/>
      <c r="I17" s="4"/>
    </row>
    <row r="18" spans="2:9" ht="12" customHeight="1">
      <c r="B18" s="442" t="s">
        <v>359</v>
      </c>
      <c r="C18" s="442"/>
      <c r="D18" s="4"/>
      <c r="E18" s="4"/>
      <c r="F18" s="4"/>
      <c r="G18" s="4"/>
      <c r="H18" s="4"/>
      <c r="I18" s="4"/>
    </row>
    <row r="19" spans="2:9" ht="11.25" customHeight="1">
      <c r="B19" s="4" t="s">
        <v>360</v>
      </c>
      <c r="C19" s="4"/>
      <c r="D19" s="4"/>
      <c r="E19" s="4"/>
      <c r="F19" s="4"/>
      <c r="G19" s="4"/>
      <c r="H19" s="4"/>
      <c r="I19" s="4"/>
    </row>
    <row r="20" spans="2:9" ht="4.25" customHeight="1">
      <c r="B20" s="4"/>
      <c r="C20" s="4"/>
      <c r="D20" s="4"/>
      <c r="E20" s="4"/>
      <c r="F20" s="4"/>
      <c r="G20" s="4"/>
      <c r="H20" s="4"/>
      <c r="I20" s="4"/>
    </row>
    <row r="21" spans="2:9" ht="12" customHeight="1">
      <c r="C21" s="4" t="s">
        <v>361</v>
      </c>
      <c r="D21" s="4"/>
      <c r="E21" s="4"/>
      <c r="F21" s="443">
        <f>水尺计算!D31</f>
        <v>18.274999999999999</v>
      </c>
      <c r="G21" s="439" t="s">
        <v>362</v>
      </c>
      <c r="H21" s="443">
        <f>水尺计算!E31</f>
        <v>11.281000000000001</v>
      </c>
      <c r="I21" s="439" t="s">
        <v>362</v>
      </c>
    </row>
    <row r="22" spans="2:9" ht="10.5" customHeight="1">
      <c r="C22" s="4" t="s">
        <v>363</v>
      </c>
      <c r="D22" s="4"/>
      <c r="E22" s="4"/>
      <c r="F22" s="444"/>
      <c r="G22" s="439"/>
      <c r="H22" s="444"/>
      <c r="I22" s="439"/>
    </row>
    <row r="23" spans="2:9" ht="3" customHeight="1">
      <c r="B23" s="4"/>
      <c r="C23" s="4"/>
      <c r="D23" s="4"/>
      <c r="E23" s="12"/>
      <c r="F23" s="13"/>
      <c r="G23" s="4"/>
      <c r="H23" s="13"/>
      <c r="I23" s="4"/>
    </row>
    <row r="24" spans="2:9" ht="12" customHeight="1">
      <c r="C24" s="3" t="s">
        <v>364</v>
      </c>
      <c r="D24" s="3"/>
      <c r="E24" s="4"/>
      <c r="F24" s="443">
        <f>水尺计算!D33</f>
        <v>18.321999999999999</v>
      </c>
      <c r="G24" s="439" t="s">
        <v>362</v>
      </c>
      <c r="H24" s="443">
        <f>水尺计算!E33</f>
        <v>11.714</v>
      </c>
      <c r="I24" s="439" t="s">
        <v>362</v>
      </c>
    </row>
    <row r="25" spans="2:9" ht="11.25" customHeight="1">
      <c r="C25" s="4" t="s">
        <v>365</v>
      </c>
      <c r="D25" s="4"/>
      <c r="E25" s="4"/>
      <c r="F25" s="444"/>
      <c r="G25" s="439"/>
      <c r="H25" s="444"/>
      <c r="I25" s="439"/>
    </row>
    <row r="26" spans="2:9" ht="3" customHeight="1">
      <c r="C26" s="4"/>
      <c r="D26" s="4"/>
      <c r="E26" s="12"/>
      <c r="F26" s="13"/>
      <c r="G26" s="4"/>
      <c r="H26" s="13"/>
      <c r="I26" s="4"/>
    </row>
    <row r="27" spans="2:9" ht="12" customHeight="1">
      <c r="C27" s="4" t="s">
        <v>366</v>
      </c>
      <c r="D27" s="4"/>
      <c r="E27" s="4"/>
      <c r="F27" s="443">
        <f>水尺计算!D15+水尺计算!D27</f>
        <v>18.3</v>
      </c>
      <c r="G27" s="439" t="s">
        <v>362</v>
      </c>
      <c r="H27" s="443">
        <f>水尺计算!E15+水尺计算!E27</f>
        <v>11.35</v>
      </c>
      <c r="I27" s="439" t="s">
        <v>362</v>
      </c>
    </row>
    <row r="28" spans="2:9" ht="10.5" customHeight="1">
      <c r="C28" s="5" t="s">
        <v>367</v>
      </c>
      <c r="D28" s="4"/>
      <c r="E28" s="4"/>
      <c r="F28" s="444"/>
      <c r="G28" s="439"/>
      <c r="H28" s="444"/>
      <c r="I28" s="439"/>
    </row>
    <row r="29" spans="2:9" ht="3" customHeight="1">
      <c r="B29" s="4"/>
      <c r="C29" s="4"/>
      <c r="D29" s="4"/>
      <c r="E29" s="12"/>
      <c r="F29" s="13"/>
      <c r="G29" s="4"/>
      <c r="H29" s="13"/>
      <c r="I29" s="4"/>
    </row>
    <row r="30" spans="2:9" ht="12" customHeight="1">
      <c r="C30" s="4" t="s">
        <v>368</v>
      </c>
      <c r="D30" s="4"/>
      <c r="E30" s="4"/>
      <c r="F30" s="443">
        <f>水尺计算!D16+水尺计算!D27</f>
        <v>18.260000000000002</v>
      </c>
      <c r="G30" s="439" t="s">
        <v>362</v>
      </c>
      <c r="H30" s="443">
        <f>水尺计算!E16+水尺计算!E27</f>
        <v>11.45</v>
      </c>
      <c r="I30" s="439" t="s">
        <v>362</v>
      </c>
    </row>
    <row r="31" spans="2:9" ht="10.5" customHeight="1">
      <c r="C31" s="5" t="s">
        <v>369</v>
      </c>
      <c r="D31" s="4"/>
      <c r="E31" s="7"/>
      <c r="F31" s="444"/>
      <c r="G31" s="439"/>
      <c r="H31" s="444"/>
      <c r="I31" s="439"/>
    </row>
    <row r="32" spans="2:9" ht="3" customHeight="1">
      <c r="B32" s="4"/>
      <c r="C32" s="4"/>
      <c r="D32" s="4"/>
      <c r="E32" s="4"/>
      <c r="F32" s="11"/>
      <c r="G32" s="4"/>
      <c r="H32" s="11"/>
      <c r="I32" s="4"/>
    </row>
    <row r="33" spans="2:9" ht="12" customHeight="1">
      <c r="C33" s="3" t="s">
        <v>370</v>
      </c>
      <c r="D33" s="3"/>
      <c r="E33" s="4"/>
      <c r="F33" s="443">
        <f>水尺计算!D37</f>
        <v>18.285</v>
      </c>
      <c r="G33" s="439" t="s">
        <v>362</v>
      </c>
      <c r="H33" s="443">
        <f>水尺计算!E37</f>
        <v>11.423999999999999</v>
      </c>
      <c r="I33" s="439" t="s">
        <v>362</v>
      </c>
    </row>
    <row r="34" spans="2:9" ht="11.25" customHeight="1">
      <c r="C34" s="4" t="s">
        <v>365</v>
      </c>
      <c r="D34" s="4"/>
      <c r="E34" s="7"/>
      <c r="F34" s="444"/>
      <c r="G34" s="439"/>
      <c r="H34" s="444"/>
      <c r="I34" s="439"/>
    </row>
    <row r="35" spans="2:9" ht="3" customHeight="1">
      <c r="C35" s="4"/>
      <c r="D35" s="4"/>
      <c r="E35" s="4"/>
      <c r="F35" s="4"/>
      <c r="G35" s="4"/>
      <c r="H35" s="4"/>
      <c r="I35" s="4"/>
    </row>
    <row r="36" spans="2:9" ht="12" customHeight="1">
      <c r="B36" s="4" t="s">
        <v>245</v>
      </c>
      <c r="C36" s="4"/>
      <c r="D36" s="4"/>
      <c r="E36" s="4"/>
      <c r="F36" s="445">
        <f>水尺计算!D55</f>
        <v>207045.6</v>
      </c>
      <c r="G36" s="439" t="s">
        <v>371</v>
      </c>
      <c r="H36" s="445">
        <f>水尺计算!E55</f>
        <v>124136.7</v>
      </c>
      <c r="I36" s="439" t="s">
        <v>371</v>
      </c>
    </row>
    <row r="37" spans="2:9" ht="10.5" customHeight="1">
      <c r="B37" s="4" t="s">
        <v>372</v>
      </c>
      <c r="C37" s="4"/>
      <c r="D37" s="4"/>
      <c r="E37" s="4"/>
      <c r="F37" s="446"/>
      <c r="G37" s="439"/>
      <c r="H37" s="446"/>
      <c r="I37" s="439"/>
    </row>
    <row r="38" spans="2:9" ht="3" customHeight="1">
      <c r="B38" s="4"/>
      <c r="C38" s="4"/>
      <c r="D38" s="4"/>
      <c r="E38" s="4"/>
      <c r="F38" s="14"/>
      <c r="G38" s="4"/>
      <c r="H38" s="14"/>
      <c r="I38" s="4"/>
    </row>
    <row r="39" spans="2:9" ht="12" customHeight="1">
      <c r="C39" s="3" t="s">
        <v>373</v>
      </c>
      <c r="D39" s="3"/>
      <c r="E39" s="4"/>
      <c r="F39" s="445">
        <f>水尺计算!D59</f>
        <v>7.7</v>
      </c>
      <c r="G39" s="439" t="s">
        <v>371</v>
      </c>
      <c r="H39" s="445">
        <f>水尺计算!E59</f>
        <v>-70.2</v>
      </c>
      <c r="I39" s="439" t="s">
        <v>371</v>
      </c>
    </row>
    <row r="40" spans="2:9" ht="11.25" customHeight="1">
      <c r="C40" s="4" t="s">
        <v>374</v>
      </c>
      <c r="D40" s="4"/>
      <c r="E40" s="7"/>
      <c r="F40" s="446"/>
      <c r="G40" s="439"/>
      <c r="H40" s="446"/>
      <c r="I40" s="439"/>
    </row>
    <row r="41" spans="2:9" ht="3" customHeight="1">
      <c r="B41" s="4"/>
      <c r="C41" s="4"/>
      <c r="D41" s="4"/>
      <c r="E41" s="4"/>
      <c r="F41" s="14"/>
      <c r="G41" s="4"/>
      <c r="H41" s="14"/>
      <c r="I41" s="4"/>
    </row>
    <row r="42" spans="2:9" ht="12" customHeight="1">
      <c r="C42" s="3" t="s">
        <v>375</v>
      </c>
      <c r="D42" s="3"/>
      <c r="E42" s="4"/>
      <c r="F42" s="445">
        <f>水尺计算!D61</f>
        <v>-808.0000000000291</v>
      </c>
      <c r="G42" s="439" t="s">
        <v>371</v>
      </c>
      <c r="H42" s="445">
        <f>水尺计算!E61</f>
        <v>-484.19999999999709</v>
      </c>
      <c r="I42" s="439" t="s">
        <v>371</v>
      </c>
    </row>
    <row r="43" spans="2:9" ht="11.25" customHeight="1">
      <c r="C43" s="5" t="s">
        <v>376</v>
      </c>
      <c r="D43" s="4"/>
      <c r="E43" s="7"/>
      <c r="F43" s="446"/>
      <c r="G43" s="439"/>
      <c r="H43" s="446"/>
      <c r="I43" s="439"/>
    </row>
    <row r="44" spans="2:9" ht="3" customHeight="1">
      <c r="B44" s="4"/>
      <c r="C44" s="4"/>
      <c r="D44" s="4"/>
      <c r="E44" s="4"/>
      <c r="F44" s="14"/>
      <c r="G44" s="4"/>
      <c r="H44" s="14"/>
      <c r="I44" s="4"/>
    </row>
    <row r="45" spans="2:9" ht="12" customHeight="1">
      <c r="B45" s="1" t="s">
        <v>377</v>
      </c>
      <c r="C45" s="3"/>
      <c r="D45" s="3"/>
      <c r="E45" s="4"/>
      <c r="F45" s="445">
        <f>水尺计算!D62</f>
        <v>206245.3</v>
      </c>
      <c r="G45" s="439" t="s">
        <v>378</v>
      </c>
      <c r="H45" s="445">
        <f>水尺计算!E62</f>
        <v>123582.3</v>
      </c>
      <c r="I45" s="439" t="s">
        <v>379</v>
      </c>
    </row>
    <row r="46" spans="2:9" ht="11.25" customHeight="1">
      <c r="B46" s="6" t="s">
        <v>380</v>
      </c>
      <c r="C46" s="4"/>
      <c r="D46" s="4"/>
      <c r="E46" s="4"/>
      <c r="F46" s="446"/>
      <c r="G46" s="439"/>
      <c r="H46" s="446"/>
      <c r="I46" s="439"/>
    </row>
    <row r="47" spans="2:9" ht="3" customHeight="1">
      <c r="B47" s="4"/>
      <c r="C47" s="4"/>
      <c r="D47" s="4"/>
      <c r="E47" s="4"/>
      <c r="F47" s="4"/>
      <c r="G47" s="4"/>
      <c r="H47" s="15"/>
      <c r="I47" s="4"/>
    </row>
    <row r="48" spans="2:9" ht="12" customHeight="1">
      <c r="B48" s="1" t="s">
        <v>381</v>
      </c>
      <c r="C48" s="3"/>
      <c r="D48" s="3"/>
      <c r="E48" s="4"/>
      <c r="F48" s="4"/>
      <c r="G48" s="4"/>
      <c r="H48" s="15"/>
      <c r="I48" s="4"/>
    </row>
    <row r="49" spans="2:9" ht="11.25" customHeight="1">
      <c r="B49" s="1" t="s">
        <v>382</v>
      </c>
      <c r="C49" s="4"/>
      <c r="D49" s="4"/>
      <c r="E49" s="4"/>
      <c r="F49" s="4"/>
      <c r="G49" s="4"/>
      <c r="H49" s="15"/>
      <c r="I49" s="4"/>
    </row>
    <row r="50" spans="2:9" ht="3" customHeight="1">
      <c r="B50" s="4"/>
      <c r="C50" s="4"/>
      <c r="D50" s="4"/>
      <c r="E50" s="4"/>
      <c r="F50" s="4"/>
      <c r="G50" s="4"/>
      <c r="H50" s="15"/>
      <c r="I50" s="4"/>
    </row>
    <row r="51" spans="2:9" ht="12" customHeight="1">
      <c r="C51" s="3" t="s">
        <v>131</v>
      </c>
      <c r="D51" s="3"/>
      <c r="E51" s="4"/>
      <c r="F51" s="445">
        <f>水尺计算!D64</f>
        <v>1922.6</v>
      </c>
      <c r="G51" s="439" t="s">
        <v>371</v>
      </c>
      <c r="H51" s="445">
        <f>水尺计算!E64</f>
        <v>1918.6</v>
      </c>
      <c r="I51" s="439" t="s">
        <v>371</v>
      </c>
    </row>
    <row r="52" spans="2:9" ht="11.25" customHeight="1">
      <c r="C52" s="4" t="s">
        <v>383</v>
      </c>
      <c r="D52" s="7"/>
      <c r="E52" s="7"/>
      <c r="F52" s="446"/>
      <c r="G52" s="439"/>
      <c r="H52" s="446"/>
      <c r="I52" s="439"/>
    </row>
    <row r="53" spans="2:9" ht="3" customHeight="1">
      <c r="B53" s="4"/>
      <c r="C53" s="4"/>
      <c r="D53" s="4"/>
      <c r="E53" s="4"/>
      <c r="F53" s="14"/>
      <c r="G53" s="4"/>
      <c r="H53" s="14"/>
      <c r="I53" s="4"/>
    </row>
    <row r="54" spans="2:9" ht="12" customHeight="1">
      <c r="C54" s="3" t="s">
        <v>140</v>
      </c>
      <c r="D54" s="3"/>
      <c r="E54" s="4"/>
      <c r="F54" s="445">
        <f>水尺计算!D65</f>
        <v>286</v>
      </c>
      <c r="G54" s="439" t="s">
        <v>371</v>
      </c>
      <c r="H54" s="445">
        <f>水尺计算!E65</f>
        <v>275</v>
      </c>
      <c r="I54" s="439" t="s">
        <v>371</v>
      </c>
    </row>
    <row r="55" spans="2:9" ht="11.25" customHeight="1">
      <c r="C55" s="4" t="s">
        <v>384</v>
      </c>
      <c r="D55" s="7"/>
      <c r="E55" s="7"/>
      <c r="F55" s="446"/>
      <c r="G55" s="439"/>
      <c r="H55" s="446"/>
      <c r="I55" s="439"/>
    </row>
    <row r="56" spans="2:9" ht="3" customHeight="1">
      <c r="B56" s="4"/>
      <c r="C56" s="4"/>
      <c r="D56" s="4"/>
      <c r="E56" s="4"/>
      <c r="F56" s="14"/>
      <c r="G56" s="4"/>
      <c r="H56" s="14"/>
      <c r="I56" s="4"/>
    </row>
    <row r="57" spans="2:9" ht="12" customHeight="1">
      <c r="C57" s="3" t="s">
        <v>385</v>
      </c>
      <c r="D57" s="3"/>
      <c r="E57" s="4"/>
      <c r="F57" s="445">
        <f>水尺计算!D66</f>
        <v>575</v>
      </c>
      <c r="G57" s="439" t="s">
        <v>371</v>
      </c>
      <c r="H57" s="445">
        <f>水尺计算!E66</f>
        <v>575</v>
      </c>
      <c r="I57" s="439" t="s">
        <v>371</v>
      </c>
    </row>
    <row r="58" spans="2:9" ht="11.25" customHeight="1">
      <c r="C58" s="4" t="s">
        <v>386</v>
      </c>
      <c r="D58" s="7"/>
      <c r="E58" s="7"/>
      <c r="F58" s="446"/>
      <c r="G58" s="439"/>
      <c r="H58" s="446"/>
      <c r="I58" s="439"/>
    </row>
    <row r="59" spans="2:9" ht="3" customHeight="1">
      <c r="B59" s="4"/>
      <c r="C59" s="4"/>
      <c r="D59" s="4"/>
      <c r="E59" s="4"/>
      <c r="F59" s="14"/>
      <c r="G59" s="4"/>
      <c r="H59" s="14"/>
      <c r="I59" s="4"/>
    </row>
    <row r="60" spans="2:9" ht="12" customHeight="1">
      <c r="C60" s="3" t="s">
        <v>387</v>
      </c>
      <c r="D60" s="3"/>
      <c r="E60" s="4"/>
      <c r="F60" s="445">
        <f>水尺计算!D67</f>
        <v>0</v>
      </c>
      <c r="G60" s="439" t="s">
        <v>371</v>
      </c>
      <c r="H60" s="445">
        <f>水尺计算!E67</f>
        <v>0</v>
      </c>
      <c r="I60" s="439" t="s">
        <v>371</v>
      </c>
    </row>
    <row r="61" spans="2:9" ht="11.25" customHeight="1">
      <c r="C61" s="4" t="s">
        <v>388</v>
      </c>
      <c r="D61" s="7"/>
      <c r="E61" s="7"/>
      <c r="F61" s="446"/>
      <c r="G61" s="439"/>
      <c r="H61" s="446"/>
      <c r="I61" s="439"/>
    </row>
    <row r="62" spans="2:9" ht="2.25" customHeight="1">
      <c r="B62" s="8"/>
      <c r="C62" s="8"/>
      <c r="D62" s="8"/>
      <c r="E62" s="8"/>
      <c r="F62" s="8"/>
      <c r="G62" s="8"/>
      <c r="H62" s="16"/>
      <c r="I62" s="8"/>
    </row>
    <row r="63" spans="2:9" ht="12" customHeight="1">
      <c r="C63" s="3" t="s">
        <v>389</v>
      </c>
      <c r="D63" s="3"/>
      <c r="E63" s="4"/>
      <c r="F63" s="447">
        <f>水尺计算!D68</f>
        <v>2783.6</v>
      </c>
      <c r="G63" s="439" t="s">
        <v>390</v>
      </c>
      <c r="H63" s="450">
        <f>水尺计算!E68</f>
        <v>2768.6</v>
      </c>
      <c r="I63" s="439" t="s">
        <v>391</v>
      </c>
    </row>
    <row r="64" spans="2:9" ht="11.25" customHeight="1">
      <c r="C64" s="5" t="s">
        <v>392</v>
      </c>
      <c r="D64" s="7"/>
      <c r="E64" s="7"/>
      <c r="F64" s="448"/>
      <c r="G64" s="439"/>
      <c r="H64" s="448"/>
      <c r="I64" s="439"/>
    </row>
    <row r="65" spans="1:10" ht="3" customHeight="1">
      <c r="B65" s="4"/>
      <c r="C65" s="4"/>
      <c r="D65" s="4"/>
      <c r="E65" s="4"/>
      <c r="F65" s="4"/>
      <c r="G65" s="4"/>
      <c r="H65" s="15"/>
      <c r="I65" s="4"/>
    </row>
    <row r="66" spans="1:10" ht="12" customHeight="1">
      <c r="C66" s="3" t="s">
        <v>393</v>
      </c>
      <c r="D66" s="3"/>
      <c r="E66" s="4"/>
      <c r="F66" s="439"/>
      <c r="G66" s="439"/>
      <c r="H66" s="453">
        <f>水尺计算!E71</f>
        <v>82648</v>
      </c>
      <c r="I66" s="439" t="s">
        <v>371</v>
      </c>
    </row>
    <row r="67" spans="1:10" ht="11.25" customHeight="1">
      <c r="C67" s="5" t="s">
        <v>394</v>
      </c>
      <c r="D67" s="4"/>
      <c r="E67" s="4"/>
      <c r="F67" s="449"/>
      <c r="G67" s="449"/>
      <c r="H67" s="454"/>
      <c r="I67" s="439"/>
    </row>
    <row r="68" spans="1:10" ht="3" customHeight="1">
      <c r="B68" s="4"/>
      <c r="C68" s="4"/>
      <c r="D68" s="4"/>
      <c r="E68" s="4"/>
      <c r="F68" s="4"/>
      <c r="G68" s="4"/>
      <c r="H68" s="15"/>
      <c r="I68" s="4"/>
    </row>
    <row r="69" spans="1:10" ht="12" customHeight="1">
      <c r="C69" s="3" t="s">
        <v>395</v>
      </c>
      <c r="D69" s="3"/>
      <c r="E69" s="4"/>
      <c r="F69" s="439"/>
      <c r="G69" s="439"/>
      <c r="H69" s="455"/>
      <c r="I69" s="439" t="s">
        <v>371</v>
      </c>
    </row>
    <row r="70" spans="1:10" ht="11.25" customHeight="1">
      <c r="C70" s="5" t="s">
        <v>396</v>
      </c>
      <c r="D70" s="4"/>
      <c r="E70" s="4"/>
      <c r="F70" s="449"/>
      <c r="G70" s="449"/>
      <c r="H70" s="456"/>
      <c r="I70" s="439"/>
    </row>
    <row r="71" spans="1:10" ht="3" customHeight="1">
      <c r="B71" s="4"/>
      <c r="C71" s="4"/>
      <c r="D71" s="4"/>
      <c r="E71" s="4"/>
      <c r="F71" s="4"/>
      <c r="G71" s="4"/>
      <c r="H71" s="4"/>
      <c r="I71" s="4"/>
    </row>
    <row r="72" spans="1:10" ht="12" customHeight="1">
      <c r="B72" s="3" t="s">
        <v>397</v>
      </c>
      <c r="C72" s="3"/>
      <c r="D72" s="4"/>
      <c r="E72" s="4"/>
      <c r="F72" s="4"/>
      <c r="G72" s="4" t="s">
        <v>275</v>
      </c>
      <c r="H72" s="4"/>
      <c r="I72" s="4"/>
    </row>
    <row r="73" spans="1:10" ht="11.25" customHeight="1">
      <c r="B73" s="4" t="s">
        <v>398</v>
      </c>
      <c r="C73" s="4"/>
      <c r="D73" s="4"/>
      <c r="E73" s="7"/>
      <c r="F73" s="7"/>
      <c r="G73" s="4" t="s">
        <v>399</v>
      </c>
      <c r="H73" s="7"/>
      <c r="I73" s="7"/>
    </row>
    <row r="74" spans="1:10" ht="27.75" customHeight="1">
      <c r="B74" s="4"/>
      <c r="C74" s="4"/>
      <c r="D74" s="4"/>
      <c r="E74" s="4"/>
      <c r="F74" s="4"/>
      <c r="G74" s="4"/>
      <c r="H74" s="4"/>
      <c r="I74" s="4"/>
    </row>
    <row r="75" spans="1:10" ht="14.25" customHeight="1">
      <c r="A75" s="18" t="s">
        <v>208</v>
      </c>
      <c r="B75" s="19"/>
      <c r="C75" s="19"/>
      <c r="D75" s="19"/>
      <c r="E75" s="19"/>
      <c r="F75" s="19"/>
      <c r="G75" s="19"/>
      <c r="H75" s="19"/>
      <c r="I75" s="19"/>
      <c r="J75" s="20"/>
    </row>
    <row r="81" ht="4.5" customHeight="1"/>
  </sheetData>
  <sheetProtection selectLockedCells="1"/>
  <mergeCells count="79">
    <mergeCell ref="I69:I70"/>
    <mergeCell ref="D8:F9"/>
    <mergeCell ref="H8:I9"/>
    <mergeCell ref="H66:H67"/>
    <mergeCell ref="H69:H70"/>
    <mergeCell ref="I21:I22"/>
    <mergeCell ref="I24:I25"/>
    <mergeCell ref="I27:I28"/>
    <mergeCell ref="I30:I31"/>
    <mergeCell ref="I33:I34"/>
    <mergeCell ref="I36:I37"/>
    <mergeCell ref="I39:I40"/>
    <mergeCell ref="I42:I43"/>
    <mergeCell ref="I45:I46"/>
    <mergeCell ref="I51:I52"/>
    <mergeCell ref="I54:I55"/>
    <mergeCell ref="I57:I58"/>
    <mergeCell ref="I60:I61"/>
    <mergeCell ref="I63:I64"/>
    <mergeCell ref="G66:G67"/>
    <mergeCell ref="I66:I67"/>
    <mergeCell ref="G69:G70"/>
    <mergeCell ref="H21:H22"/>
    <mergeCell ref="H24:H25"/>
    <mergeCell ref="H27:H28"/>
    <mergeCell ref="H30:H31"/>
    <mergeCell ref="H33:H34"/>
    <mergeCell ref="H36:H37"/>
    <mergeCell ref="H39:H40"/>
    <mergeCell ref="H42:H43"/>
    <mergeCell ref="H45:H46"/>
    <mergeCell ref="H51:H52"/>
    <mergeCell ref="H54:H55"/>
    <mergeCell ref="H57:H58"/>
    <mergeCell ref="H60:H61"/>
    <mergeCell ref="H63:H64"/>
    <mergeCell ref="F66:F67"/>
    <mergeCell ref="F69:F70"/>
    <mergeCell ref="G21:G22"/>
    <mergeCell ref="G24:G25"/>
    <mergeCell ref="G27:G28"/>
    <mergeCell ref="G30:G31"/>
    <mergeCell ref="G33:G34"/>
    <mergeCell ref="G36:G37"/>
    <mergeCell ref="G39:G40"/>
    <mergeCell ref="G42:G43"/>
    <mergeCell ref="G45:G46"/>
    <mergeCell ref="G51:G52"/>
    <mergeCell ref="G54:G55"/>
    <mergeCell ref="G57:G58"/>
    <mergeCell ref="G60:G61"/>
    <mergeCell ref="G63:G64"/>
    <mergeCell ref="F51:F52"/>
    <mergeCell ref="F54:F55"/>
    <mergeCell ref="F57:F58"/>
    <mergeCell ref="F60:F61"/>
    <mergeCell ref="F63:F64"/>
    <mergeCell ref="F33:F34"/>
    <mergeCell ref="F36:F37"/>
    <mergeCell ref="F39:F40"/>
    <mergeCell ref="F42:F43"/>
    <mergeCell ref="F45:F46"/>
    <mergeCell ref="B18:C18"/>
    <mergeCell ref="F21:F22"/>
    <mergeCell ref="F24:F25"/>
    <mergeCell ref="F27:F28"/>
    <mergeCell ref="F30:F31"/>
    <mergeCell ref="E11:F11"/>
    <mergeCell ref="H11:I11"/>
    <mergeCell ref="E12:F12"/>
    <mergeCell ref="H12:I12"/>
    <mergeCell ref="E13:F13"/>
    <mergeCell ref="H13:I13"/>
    <mergeCell ref="B3:I3"/>
    <mergeCell ref="B4:I4"/>
    <mergeCell ref="B5:I5"/>
    <mergeCell ref="B6:I6"/>
    <mergeCell ref="E10:F10"/>
    <mergeCell ref="H10:I10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4"/>
  <sheetViews>
    <sheetView zoomScale="200" zoomScaleNormal="72" workbookViewId="0">
      <selection activeCell="E7" sqref="E7"/>
    </sheetView>
  </sheetViews>
  <sheetFormatPr baseColWidth="10" defaultColWidth="9" defaultRowHeight="14"/>
  <cols>
    <col min="1" max="1" width="2.1640625" style="219" customWidth="1"/>
    <col min="2" max="2" width="8.5" style="219" customWidth="1"/>
    <col min="3" max="3" width="13" style="219" customWidth="1"/>
    <col min="4" max="6" width="15" style="219" customWidth="1"/>
    <col min="7" max="7" width="16.33203125" style="219" customWidth="1"/>
    <col min="8" max="9" width="12.83203125" style="219" customWidth="1"/>
    <col min="10" max="10" width="10.83203125" style="219" hidden="1" customWidth="1"/>
    <col min="11" max="11" width="12.1640625" style="219" hidden="1" customWidth="1"/>
    <col min="12" max="15" width="10.83203125" style="219" hidden="1" customWidth="1"/>
    <col min="16" max="16" width="12.5" style="219" hidden="1" customWidth="1"/>
    <col min="17" max="21" width="9" style="219" hidden="1" customWidth="1"/>
    <col min="22" max="16384" width="9" style="219"/>
  </cols>
  <sheetData>
    <row r="2" spans="1:25" ht="25.5" customHeight="1">
      <c r="A2" s="220"/>
      <c r="B2" s="220"/>
      <c r="D2" s="221"/>
      <c r="E2" s="235" t="s">
        <v>35</v>
      </c>
      <c r="F2" s="221"/>
      <c r="G2" s="221"/>
      <c r="H2" s="236"/>
      <c r="I2" s="220"/>
    </row>
    <row r="3" spans="1:25" ht="6.75" customHeight="1">
      <c r="A3" s="220"/>
      <c r="B3" s="220"/>
      <c r="C3" s="221"/>
      <c r="D3" s="221"/>
      <c r="E3" s="221"/>
      <c r="F3" s="221"/>
      <c r="G3" s="221"/>
      <c r="H3" s="236"/>
      <c r="I3" s="220"/>
    </row>
    <row r="4" spans="1:25" ht="15.75" customHeight="1">
      <c r="A4" s="220"/>
      <c r="C4" s="295" t="s">
        <v>36</v>
      </c>
      <c r="D4" s="296"/>
      <c r="E4" s="297"/>
      <c r="F4" s="298" t="s">
        <v>37</v>
      </c>
      <c r="G4" s="299"/>
      <c r="H4" s="108"/>
      <c r="I4" s="108"/>
      <c r="K4" s="219" t="s">
        <v>38</v>
      </c>
    </row>
    <row r="5" spans="1:25" ht="15.75" customHeight="1">
      <c r="A5" s="220"/>
      <c r="B5" s="222"/>
      <c r="C5" s="300" t="s">
        <v>39</v>
      </c>
      <c r="D5" s="301"/>
      <c r="E5" s="302"/>
      <c r="F5" s="301" t="s">
        <v>40</v>
      </c>
      <c r="G5" s="302"/>
      <c r="H5" s="123"/>
      <c r="I5" s="108"/>
      <c r="K5" s="219">
        <f>COUNTA(C7:C12)</f>
        <v>1</v>
      </c>
    </row>
    <row r="6" spans="1:25" ht="15.75" customHeight="1">
      <c r="A6" s="220"/>
      <c r="B6" s="223" t="s">
        <v>41</v>
      </c>
      <c r="C6" s="224" t="s">
        <v>42</v>
      </c>
      <c r="D6" s="223" t="s">
        <v>43</v>
      </c>
      <c r="E6" s="237" t="s">
        <v>44</v>
      </c>
      <c r="F6" s="223" t="s">
        <v>45</v>
      </c>
      <c r="G6" s="223" t="s">
        <v>46</v>
      </c>
      <c r="H6" s="238" t="s">
        <v>47</v>
      </c>
      <c r="I6" s="224" t="s">
        <v>48</v>
      </c>
    </row>
    <row r="7" spans="1:25" ht="15.75" customHeight="1">
      <c r="A7" s="220"/>
      <c r="B7" s="223">
        <v>1</v>
      </c>
      <c r="C7" s="225" t="s">
        <v>49</v>
      </c>
      <c r="D7" s="226" t="s">
        <v>50</v>
      </c>
      <c r="E7" s="239">
        <v>81750</v>
      </c>
      <c r="F7" s="240" t="s">
        <v>51</v>
      </c>
      <c r="G7" s="241">
        <v>44339.416666666701</v>
      </c>
      <c r="H7" s="242">
        <f t="shared" ref="H7:H12" si="0">IF(AND(E$13&gt;0,E7&gt;0),ROUND(E7*E$14/E$13,0),"")</f>
        <v>82648</v>
      </c>
      <c r="I7" s="253">
        <f t="shared" ref="I7:I12" si="1">IF(H$14&gt;B7,H7,IF(H$14&lt;B7,"",H7+E$14-H$13))</f>
        <v>82648</v>
      </c>
      <c r="J7" s="254"/>
      <c r="K7" s="254"/>
      <c r="L7" s="254"/>
      <c r="M7" s="254"/>
      <c r="N7" s="254"/>
      <c r="P7" s="256"/>
      <c r="Q7" s="256"/>
      <c r="R7" s="256"/>
      <c r="S7" s="256"/>
      <c r="T7" s="256"/>
      <c r="U7" s="263" t="str">
        <f>C7</f>
        <v>020220211000099242</v>
      </c>
      <c r="Y7" s="256"/>
    </row>
    <row r="8" spans="1:25" ht="15.75" customHeight="1">
      <c r="A8" s="220"/>
      <c r="B8" s="223">
        <v>2</v>
      </c>
      <c r="C8" s="225"/>
      <c r="D8" s="226"/>
      <c r="E8" s="239"/>
      <c r="F8" s="240"/>
      <c r="G8" s="241"/>
      <c r="H8" s="242" t="str">
        <f t="shared" si="0"/>
        <v/>
      </c>
      <c r="I8" s="255" t="str">
        <f t="shared" si="1"/>
        <v/>
      </c>
      <c r="J8" s="256" t="str">
        <f t="shared" ref="J8:T12" si="2">IF($B8&lt;=$K$5,LEFT($C8,J$13)=LEFT($C7,J$13),"")</f>
        <v/>
      </c>
      <c r="K8" s="256" t="str">
        <f t="shared" si="2"/>
        <v/>
      </c>
      <c r="L8" s="256" t="str">
        <f t="shared" si="2"/>
        <v/>
      </c>
      <c r="M8" s="256" t="str">
        <f t="shared" si="2"/>
        <v/>
      </c>
      <c r="N8" s="256" t="str">
        <f t="shared" si="2"/>
        <v/>
      </c>
      <c r="O8" s="256" t="str">
        <f t="shared" si="2"/>
        <v/>
      </c>
      <c r="P8" s="256" t="str">
        <f t="shared" si="2"/>
        <v/>
      </c>
      <c r="Q8" s="256" t="str">
        <f t="shared" si="2"/>
        <v/>
      </c>
      <c r="R8" s="256" t="str">
        <f t="shared" si="2"/>
        <v/>
      </c>
      <c r="S8" s="256" t="str">
        <f t="shared" si="2"/>
        <v/>
      </c>
      <c r="T8" s="256" t="str">
        <f t="shared" si="2"/>
        <v/>
      </c>
      <c r="U8" s="219" t="str">
        <f>IF(B8&lt;=K$5,U7&amp;"/"&amp;RIGHT(C8,LEN(C8)-MATCH(FALSE,J8:T8,)+1),U7)</f>
        <v>020220211000099242</v>
      </c>
      <c r="Y8" s="256"/>
    </row>
    <row r="9" spans="1:25" ht="15.75" customHeight="1">
      <c r="A9" s="220"/>
      <c r="B9" s="223">
        <v>3</v>
      </c>
      <c r="C9" s="225"/>
      <c r="D9" s="226"/>
      <c r="E9" s="239"/>
      <c r="F9" s="240"/>
      <c r="G9" s="241"/>
      <c r="H9" s="242" t="str">
        <f t="shared" si="0"/>
        <v/>
      </c>
      <c r="I9" s="255" t="str">
        <f t="shared" si="1"/>
        <v/>
      </c>
      <c r="J9" s="256" t="str">
        <f t="shared" si="2"/>
        <v/>
      </c>
      <c r="K9" s="256" t="str">
        <f t="shared" si="2"/>
        <v/>
      </c>
      <c r="L9" s="256" t="str">
        <f t="shared" si="2"/>
        <v/>
      </c>
      <c r="M9" s="256" t="str">
        <f t="shared" si="2"/>
        <v/>
      </c>
      <c r="N9" s="256" t="str">
        <f t="shared" si="2"/>
        <v/>
      </c>
      <c r="O9" s="256" t="str">
        <f t="shared" si="2"/>
        <v/>
      </c>
      <c r="P9" s="256" t="str">
        <f t="shared" si="2"/>
        <v/>
      </c>
      <c r="Q9" s="256" t="str">
        <f t="shared" si="2"/>
        <v/>
      </c>
      <c r="R9" s="256" t="str">
        <f t="shared" si="2"/>
        <v/>
      </c>
      <c r="S9" s="256" t="str">
        <f t="shared" si="2"/>
        <v/>
      </c>
      <c r="T9" s="256" t="str">
        <f t="shared" si="2"/>
        <v/>
      </c>
      <c r="U9" s="219" t="str">
        <f>IF(B9&lt;=K$5,U8&amp;"/"&amp;RIGHT(C9,LEN(C9)-MATCH(FALSE,J9:T9,)+1),U8)</f>
        <v>020220211000099242</v>
      </c>
      <c r="Y9" s="256"/>
    </row>
    <row r="10" spans="1:25" ht="15.75" customHeight="1">
      <c r="A10" s="220"/>
      <c r="B10" s="223">
        <v>4</v>
      </c>
      <c r="C10" s="225"/>
      <c r="D10" s="226"/>
      <c r="E10" s="239"/>
      <c r="F10" s="243"/>
      <c r="G10" s="241"/>
      <c r="H10" s="242" t="str">
        <f t="shared" si="0"/>
        <v/>
      </c>
      <c r="I10" s="255" t="str">
        <f t="shared" si="1"/>
        <v/>
      </c>
      <c r="J10" s="256" t="str">
        <f t="shared" si="2"/>
        <v/>
      </c>
      <c r="K10" s="256" t="str">
        <f t="shared" si="2"/>
        <v/>
      </c>
      <c r="L10" s="256" t="str">
        <f t="shared" si="2"/>
        <v/>
      </c>
      <c r="M10" s="256" t="str">
        <f t="shared" si="2"/>
        <v/>
      </c>
      <c r="N10" s="256" t="str">
        <f t="shared" si="2"/>
        <v/>
      </c>
      <c r="O10" s="256" t="str">
        <f t="shared" si="2"/>
        <v/>
      </c>
      <c r="P10" s="256" t="str">
        <f t="shared" si="2"/>
        <v/>
      </c>
      <c r="Q10" s="256" t="str">
        <f t="shared" si="2"/>
        <v/>
      </c>
      <c r="R10" s="256" t="str">
        <f t="shared" si="2"/>
        <v/>
      </c>
      <c r="S10" s="256" t="str">
        <f t="shared" si="2"/>
        <v/>
      </c>
      <c r="T10" s="256" t="str">
        <f t="shared" si="2"/>
        <v/>
      </c>
      <c r="U10" s="219" t="str">
        <f>IF(B10&lt;=K$5,U9&amp;"/"&amp;RIGHT(C10,LEN(C10)-MATCH(FALSE,J10:T10,)+1),U9)</f>
        <v>020220211000099242</v>
      </c>
      <c r="Y10" s="256"/>
    </row>
    <row r="11" spans="1:25" ht="15.75" customHeight="1">
      <c r="A11" s="220"/>
      <c r="B11" s="223">
        <v>5</v>
      </c>
      <c r="C11" s="225"/>
      <c r="D11" s="226"/>
      <c r="E11" s="239"/>
      <c r="F11" s="243"/>
      <c r="G11" s="241"/>
      <c r="H11" s="242" t="str">
        <f t="shared" si="0"/>
        <v/>
      </c>
      <c r="I11" s="255" t="str">
        <f t="shared" si="1"/>
        <v/>
      </c>
      <c r="J11" s="256" t="str">
        <f t="shared" si="2"/>
        <v/>
      </c>
      <c r="K11" s="256" t="str">
        <f t="shared" si="2"/>
        <v/>
      </c>
      <c r="L11" s="256" t="str">
        <f t="shared" si="2"/>
        <v/>
      </c>
      <c r="M11" s="256" t="str">
        <f t="shared" si="2"/>
        <v/>
      </c>
      <c r="N11" s="256" t="str">
        <f t="shared" si="2"/>
        <v/>
      </c>
      <c r="O11" s="256" t="str">
        <f t="shared" si="2"/>
        <v/>
      </c>
      <c r="P11" s="256" t="str">
        <f t="shared" si="2"/>
        <v/>
      </c>
      <c r="Q11" s="256" t="str">
        <f t="shared" si="2"/>
        <v/>
      </c>
      <c r="R11" s="256" t="str">
        <f t="shared" si="2"/>
        <v/>
      </c>
      <c r="S11" s="256" t="str">
        <f t="shared" si="2"/>
        <v/>
      </c>
      <c r="T11" s="256" t="str">
        <f t="shared" si="2"/>
        <v/>
      </c>
      <c r="U11" s="219" t="str">
        <f>IF(B11&lt;=K$5,U10&amp;"/"&amp;RIGHT(C11,LEN(C11)-MATCH(FALSE,J11:T11,)+1),U10)</f>
        <v>020220211000099242</v>
      </c>
      <c r="W11" s="256"/>
      <c r="X11" s="256"/>
      <c r="Y11" s="256"/>
    </row>
    <row r="12" spans="1:25" ht="15.75" customHeight="1">
      <c r="A12" s="220"/>
      <c r="B12" s="223">
        <v>6</v>
      </c>
      <c r="C12" s="225"/>
      <c r="D12" s="226"/>
      <c r="E12" s="244"/>
      <c r="F12" s="243"/>
      <c r="G12" s="241"/>
      <c r="H12" s="242" t="str">
        <f t="shared" si="0"/>
        <v/>
      </c>
      <c r="I12" s="257" t="str">
        <f t="shared" si="1"/>
        <v/>
      </c>
      <c r="J12" s="256" t="str">
        <f t="shared" si="2"/>
        <v/>
      </c>
      <c r="K12" s="256" t="str">
        <f t="shared" si="2"/>
        <v/>
      </c>
      <c r="L12" s="256" t="str">
        <f t="shared" si="2"/>
        <v/>
      </c>
      <c r="M12" s="256" t="str">
        <f t="shared" si="2"/>
        <v/>
      </c>
      <c r="N12" s="256" t="str">
        <f t="shared" si="2"/>
        <v/>
      </c>
      <c r="O12" s="256" t="str">
        <f t="shared" si="2"/>
        <v/>
      </c>
      <c r="P12" s="256" t="str">
        <f t="shared" si="2"/>
        <v/>
      </c>
      <c r="Q12" s="256" t="str">
        <f t="shared" si="2"/>
        <v/>
      </c>
      <c r="R12" s="256" t="str">
        <f t="shared" si="2"/>
        <v/>
      </c>
      <c r="S12" s="256" t="str">
        <f t="shared" si="2"/>
        <v/>
      </c>
      <c r="T12" s="256" t="str">
        <f t="shared" si="2"/>
        <v/>
      </c>
      <c r="U12" s="219" t="str">
        <f>IF(B12&lt;=K$5,U11&amp;"/"&amp;RIGHT(C12,LEN(C12)-MATCH(FALSE,J12:T12,)+1),U11)</f>
        <v>020220211000099242</v>
      </c>
      <c r="W12" s="256" t="str">
        <f>IF(B12&lt;=K$5,IF(V12,W11,W11&amp;"/"&amp;D12),"")</f>
        <v/>
      </c>
      <c r="X12" s="256"/>
      <c r="Y12" s="256"/>
    </row>
    <row r="13" spans="1:25" ht="15.75" customHeight="1">
      <c r="A13" s="220"/>
      <c r="B13" s="227" t="s">
        <v>52</v>
      </c>
      <c r="C13" s="228" t="str">
        <f>IF(ISERROR(VLOOKUP(K5,B7:U12,20,FALSE)),"",VLOOKUP(K5,B7:U12,20,FALSE))</f>
        <v>020220211000099242</v>
      </c>
      <c r="D13" s="229" t="s">
        <v>53</v>
      </c>
      <c r="E13" s="245">
        <f t="shared" ref="E13:I13" si="3">SUM(E7:E12)</f>
        <v>81750</v>
      </c>
      <c r="F13" s="108"/>
      <c r="G13" s="246" t="s">
        <v>53</v>
      </c>
      <c r="H13" s="247">
        <f t="shared" si="3"/>
        <v>82648</v>
      </c>
      <c r="I13" s="258">
        <f t="shared" si="3"/>
        <v>82648</v>
      </c>
      <c r="J13" s="219">
        <v>1</v>
      </c>
      <c r="K13" s="219">
        <v>2</v>
      </c>
      <c r="L13" s="219">
        <v>3</v>
      </c>
      <c r="M13" s="219">
        <v>4</v>
      </c>
      <c r="N13" s="219">
        <v>5</v>
      </c>
      <c r="O13" s="219">
        <v>6</v>
      </c>
      <c r="P13" s="219">
        <v>7</v>
      </c>
      <c r="Q13" s="219">
        <v>8</v>
      </c>
      <c r="R13" s="219">
        <v>9</v>
      </c>
      <c r="S13" s="219">
        <v>10</v>
      </c>
      <c r="T13" s="219">
        <v>11</v>
      </c>
    </row>
    <row r="14" spans="1:25" ht="15.75" customHeight="1">
      <c r="A14" s="220"/>
      <c r="B14" s="227" t="s">
        <v>54</v>
      </c>
      <c r="C14" s="230" t="str">
        <f>IF(ISERROR(VLOOKUP(K5,J16:K21,2,FALSE)),"",VLOOKUP(K5,J16:K21,2,FALSE))</f>
        <v>铁矿块</v>
      </c>
      <c r="D14" s="231" t="s">
        <v>55</v>
      </c>
      <c r="E14" s="248">
        <f>水尺计算!E71</f>
        <v>82648</v>
      </c>
      <c r="F14" s="108"/>
      <c r="G14" s="249" t="s">
        <v>56</v>
      </c>
      <c r="H14" s="250">
        <f>COUNTIF(E7:E12,"&gt;0")</f>
        <v>1</v>
      </c>
      <c r="I14" s="259"/>
    </row>
    <row r="15" spans="1:25" ht="25.5" customHeight="1">
      <c r="A15" s="220"/>
      <c r="D15" s="232"/>
      <c r="E15" s="251"/>
      <c r="G15" s="220"/>
      <c r="H15" s="220"/>
      <c r="I15" s="220"/>
      <c r="K15" s="260" t="s">
        <v>57</v>
      </c>
      <c r="L15" s="261" t="s">
        <v>58</v>
      </c>
      <c r="M15" s="260"/>
      <c r="N15" s="260"/>
    </row>
    <row r="16" spans="1:25" ht="15.75" customHeight="1">
      <c r="A16" s="220"/>
      <c r="B16" s="233"/>
      <c r="C16" s="124"/>
      <c r="D16" s="124"/>
      <c r="E16" s="124"/>
      <c r="F16" s="124"/>
      <c r="G16" s="124"/>
      <c r="H16" s="252"/>
      <c r="I16" s="124"/>
      <c r="J16" s="220">
        <v>1</v>
      </c>
      <c r="K16" s="262" t="str">
        <f>D7</f>
        <v>铁矿块</v>
      </c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</row>
    <row r="17" spans="1:22" ht="15.75" customHeight="1">
      <c r="A17" s="220"/>
      <c r="B17" s="234"/>
      <c r="C17" s="234"/>
      <c r="D17" s="234"/>
      <c r="E17" s="234"/>
      <c r="F17" s="234"/>
      <c r="G17" s="234"/>
      <c r="H17" s="234"/>
      <c r="I17" s="234"/>
      <c r="J17" s="220">
        <v>2</v>
      </c>
      <c r="K17" s="262" t="str">
        <f>IF(B8&lt;=K$5,IF(M17,K16&amp;"/"&amp;D8,K16),"")</f>
        <v/>
      </c>
      <c r="L17" s="220">
        <f t="shared" ref="L17:L21" si="4">FIND(D8,K16,1)</f>
        <v>1</v>
      </c>
      <c r="M17" s="220" t="b">
        <f t="shared" ref="M17:M21" si="5">ISERROR(L17)</f>
        <v>0</v>
      </c>
      <c r="N17" s="220"/>
      <c r="O17" s="220"/>
      <c r="P17" s="220"/>
      <c r="Q17" s="220"/>
      <c r="R17" s="220"/>
      <c r="S17" s="220"/>
      <c r="T17" s="220"/>
      <c r="U17" s="220"/>
      <c r="V17" s="220"/>
    </row>
    <row r="18" spans="1:22" ht="15.75" customHeight="1">
      <c r="A18" s="220"/>
      <c r="B18" s="234"/>
      <c r="C18" s="234"/>
      <c r="D18" s="234"/>
      <c r="E18" s="234"/>
      <c r="F18" s="234"/>
      <c r="G18" s="234"/>
      <c r="H18" s="234"/>
      <c r="I18" s="234"/>
      <c r="J18" s="220">
        <v>3</v>
      </c>
      <c r="K18" s="262" t="str">
        <f>IF(B9&lt;=K$5,IF(M18,K17&amp;"/"&amp;D9,K17),"")</f>
        <v/>
      </c>
      <c r="L18" s="220">
        <f t="shared" si="4"/>
        <v>1</v>
      </c>
      <c r="M18" s="220" t="b">
        <f t="shared" si="5"/>
        <v>0</v>
      </c>
      <c r="N18" s="220"/>
      <c r="O18" s="220"/>
      <c r="P18" s="220"/>
      <c r="Q18" s="220"/>
      <c r="R18" s="220"/>
      <c r="S18" s="220"/>
      <c r="T18" s="220"/>
      <c r="U18" s="220"/>
      <c r="V18" s="220"/>
    </row>
    <row r="19" spans="1:22" ht="15.75" customHeight="1">
      <c r="A19" s="220"/>
      <c r="B19" s="234"/>
      <c r="C19" s="234"/>
      <c r="D19" s="234"/>
      <c r="E19" s="234"/>
      <c r="F19" s="234"/>
      <c r="G19" s="234"/>
      <c r="H19" s="234"/>
      <c r="I19" s="234"/>
      <c r="J19" s="220">
        <v>4</v>
      </c>
      <c r="K19" s="262" t="str">
        <f>IF(B10&lt;=K$5,IF(M19,K18&amp;"/"&amp;D10,K18),"")</f>
        <v/>
      </c>
      <c r="L19" s="220">
        <f t="shared" si="4"/>
        <v>1</v>
      </c>
      <c r="M19" s="220" t="b">
        <f t="shared" si="5"/>
        <v>0</v>
      </c>
      <c r="N19" s="220"/>
      <c r="O19" s="220"/>
      <c r="P19" s="220"/>
      <c r="Q19" s="220"/>
      <c r="R19" s="220"/>
      <c r="S19" s="220"/>
      <c r="T19" s="220"/>
      <c r="U19" s="220"/>
      <c r="V19" s="220"/>
    </row>
    <row r="20" spans="1:22" ht="15.75" customHeight="1">
      <c r="B20" s="234"/>
      <c r="C20" s="234"/>
      <c r="D20" s="234"/>
      <c r="E20" s="234"/>
      <c r="F20" s="234"/>
      <c r="G20" s="234"/>
      <c r="H20" s="234"/>
      <c r="I20" s="234"/>
      <c r="J20" s="220">
        <v>5</v>
      </c>
      <c r="K20" s="262" t="str">
        <f>IF(B11&lt;=K$5,IF(M20,K19&amp;"/"&amp;D11,K19),"")</f>
        <v/>
      </c>
      <c r="L20" s="220">
        <f t="shared" si="4"/>
        <v>1</v>
      </c>
      <c r="M20" s="220" t="b">
        <f t="shared" si="5"/>
        <v>0</v>
      </c>
      <c r="N20" s="220"/>
      <c r="O20" s="220"/>
      <c r="P20" s="220"/>
      <c r="Q20" s="220"/>
      <c r="R20" s="220"/>
      <c r="S20" s="220"/>
      <c r="T20" s="220"/>
      <c r="U20" s="220"/>
      <c r="V20" s="220"/>
    </row>
    <row r="21" spans="1:22" ht="15.75" customHeight="1">
      <c r="B21" s="234"/>
      <c r="C21" s="234"/>
      <c r="D21" s="234"/>
      <c r="E21" s="234"/>
      <c r="F21" s="234"/>
      <c r="G21" s="234"/>
      <c r="H21" s="234"/>
      <c r="I21" s="234"/>
      <c r="J21" s="220">
        <v>6</v>
      </c>
      <c r="K21" s="262" t="str">
        <f>IF(B12&lt;=K$5,IF(M21,K20&amp;"/"&amp;D12,K20),"")</f>
        <v/>
      </c>
      <c r="L21" s="220">
        <f t="shared" si="4"/>
        <v>1</v>
      </c>
      <c r="M21" s="220" t="b">
        <f t="shared" si="5"/>
        <v>0</v>
      </c>
      <c r="N21" s="220"/>
      <c r="O21" s="220"/>
      <c r="P21" s="220"/>
      <c r="Q21" s="220"/>
      <c r="R21" s="220"/>
      <c r="S21" s="220"/>
      <c r="T21" s="220"/>
      <c r="U21" s="220"/>
      <c r="V21" s="220"/>
    </row>
    <row r="22" spans="1:22" ht="15.75" customHeight="1">
      <c r="B22" s="234"/>
      <c r="C22" s="234"/>
      <c r="D22" s="234"/>
      <c r="E22" s="234"/>
      <c r="F22" s="234"/>
      <c r="G22" s="234"/>
      <c r="H22" s="234"/>
      <c r="I22" s="234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</row>
    <row r="23" spans="1:22"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</row>
    <row r="24" spans="1:22"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</row>
  </sheetData>
  <sheetProtection sheet="1" objects="1" scenarios="1" selectLockedCells="1"/>
  <mergeCells count="4">
    <mergeCell ref="C4:E4"/>
    <mergeCell ref="F4:G4"/>
    <mergeCell ref="C5:E5"/>
    <mergeCell ref="F5:G5"/>
  </mergeCells>
  <phoneticPr fontId="24" type="noConversion"/>
  <dataValidations count="1">
    <dataValidation type="decimal" allowBlank="1" showInputMessage="1" showErrorMessage="1" sqref="E7:E12" xr:uid="{00000000-0002-0000-0100-000000000000}">
      <formula1>500</formula1>
      <formula2>500000</formula2>
    </dataValidation>
  </dataValidations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73"/>
  <sheetViews>
    <sheetView topLeftCell="C1" zoomScale="115" zoomScaleNormal="115" workbookViewId="0">
      <selection activeCell="E45" sqref="E45"/>
    </sheetView>
  </sheetViews>
  <sheetFormatPr baseColWidth="10" defaultColWidth="9" defaultRowHeight="14"/>
  <cols>
    <col min="1" max="1" width="2.1640625" style="157" customWidth="1"/>
    <col min="2" max="2" width="2.6640625" style="157" customWidth="1"/>
    <col min="3" max="3" width="14.83203125" style="157" customWidth="1"/>
    <col min="4" max="5" width="20.6640625" style="158" customWidth="1"/>
    <col min="6" max="6" width="7.1640625" style="159" customWidth="1"/>
    <col min="7" max="7" width="12.83203125" style="157" hidden="1" customWidth="1"/>
    <col min="8" max="9" width="6.83203125" style="160" customWidth="1"/>
    <col min="10" max="11" width="9" style="160"/>
    <col min="12" max="16384" width="9" style="157"/>
  </cols>
  <sheetData>
    <row r="1" spans="2:11" ht="15.75" customHeight="1">
      <c r="D1" s="161">
        <v>9.9999999999999995E-7</v>
      </c>
    </row>
    <row r="2" spans="2:11" ht="30" customHeight="1">
      <c r="B2" s="303" t="s">
        <v>59</v>
      </c>
      <c r="C2" s="303"/>
      <c r="D2" s="303"/>
      <c r="E2" s="303"/>
      <c r="F2" s="196"/>
      <c r="G2" s="197"/>
    </row>
    <row r="3" spans="2:11" ht="15.75" customHeight="1">
      <c r="B3" s="317" t="s">
        <v>60</v>
      </c>
      <c r="C3" s="162" t="s">
        <v>61</v>
      </c>
      <c r="D3" s="304" t="str">
        <f>工作记录!C18</f>
        <v>MOUNT BOLIVAR</v>
      </c>
      <c r="E3" s="305"/>
      <c r="F3" s="198" t="s">
        <v>62</v>
      </c>
      <c r="G3" s="160"/>
      <c r="K3" s="157"/>
    </row>
    <row r="4" spans="2:11" ht="15.75" customHeight="1">
      <c r="B4" s="318"/>
      <c r="C4" s="163" t="s">
        <v>63</v>
      </c>
      <c r="D4" s="306">
        <v>1.0249999999999999</v>
      </c>
      <c r="E4" s="307"/>
      <c r="F4" s="198">
        <v>5.0000000000000001E-4</v>
      </c>
      <c r="G4" s="160"/>
      <c r="K4" s="157"/>
    </row>
    <row r="5" spans="2:11" ht="15.75" customHeight="1">
      <c r="B5" s="318"/>
      <c r="C5" s="162" t="s">
        <v>64</v>
      </c>
      <c r="D5" s="308">
        <v>283.8</v>
      </c>
      <c r="E5" s="309"/>
      <c r="F5" s="198">
        <v>0.1</v>
      </c>
      <c r="G5" s="160"/>
      <c r="K5" s="157"/>
    </row>
    <row r="6" spans="2:11" ht="15.75" customHeight="1">
      <c r="B6" s="318"/>
      <c r="C6" s="162" t="s">
        <v>65</v>
      </c>
      <c r="D6" s="310"/>
      <c r="E6" s="311"/>
      <c r="F6" s="198">
        <v>0.1</v>
      </c>
      <c r="G6" s="160"/>
      <c r="K6" s="157"/>
    </row>
    <row r="7" spans="2:11" ht="15.75" customHeight="1">
      <c r="B7" s="318"/>
      <c r="C7" s="162" t="s">
        <v>66</v>
      </c>
      <c r="D7" s="315">
        <v>25359</v>
      </c>
      <c r="E7" s="316"/>
      <c r="F7" s="199">
        <v>0.1</v>
      </c>
      <c r="G7" s="160"/>
      <c r="K7" s="157"/>
    </row>
    <row r="8" spans="2:11" ht="15.75" customHeight="1">
      <c r="B8" s="319"/>
      <c r="C8" s="162" t="s">
        <v>67</v>
      </c>
      <c r="D8" s="315">
        <v>531</v>
      </c>
      <c r="E8" s="316"/>
      <c r="F8" s="200">
        <v>0.1</v>
      </c>
      <c r="G8" s="160"/>
      <c r="K8" s="157"/>
    </row>
    <row r="9" spans="2:11" ht="15.75" hidden="1" customHeight="1">
      <c r="B9" s="164"/>
      <c r="C9" s="165" t="s">
        <v>68</v>
      </c>
      <c r="D9" s="166">
        <f>IF($D5&lt;=0,100,IF(MOD(INT(MOD($D5*10,10)),2)&lt;0.0001,IF(MOD($D5*100,10)-5&lt;0.0001,ROUND($D5-0.0001,1),ROUND($D5+0.0001,1)),ROUND($D5+0.0001,1)))</f>
        <v>283.8</v>
      </c>
      <c r="E9" s="166">
        <f>IF($D5&lt;=0,100,IF(MOD(INT(MOD($D5*10,10)),2)&lt;0.0001,IF(MOD($D5*100,10)-5&lt;0.0001,ROUND($D5-0.0001,1),ROUND($D5+0.0001,1)),ROUND($D5+0.0001,1)))</f>
        <v>283.8</v>
      </c>
      <c r="F9" s="200">
        <v>0.1</v>
      </c>
      <c r="G9" s="160"/>
      <c r="K9" s="157"/>
    </row>
    <row r="10" spans="2:11" ht="5.25" customHeight="1">
      <c r="B10" s="167"/>
      <c r="C10" s="168"/>
      <c r="D10" s="169"/>
      <c r="E10" s="201"/>
      <c r="F10" s="202"/>
      <c r="G10" s="203"/>
    </row>
    <row r="11" spans="2:11" ht="15.75" customHeight="1">
      <c r="B11" s="170"/>
      <c r="C11" s="170"/>
      <c r="D11" s="171" t="s">
        <v>2</v>
      </c>
      <c r="E11" s="171" t="s">
        <v>3</v>
      </c>
      <c r="F11" s="204"/>
      <c r="G11" s="160"/>
      <c r="J11" s="157"/>
      <c r="K11" s="157"/>
    </row>
    <row r="12" spans="2:11" ht="15.75" customHeight="1">
      <c r="B12" s="320" t="s">
        <v>69</v>
      </c>
      <c r="C12" s="162" t="s">
        <v>70</v>
      </c>
      <c r="D12" s="172">
        <v>18.28</v>
      </c>
      <c r="E12" s="172">
        <v>11.27</v>
      </c>
      <c r="F12" s="204">
        <v>0.01</v>
      </c>
      <c r="G12" s="160"/>
      <c r="J12" s="157"/>
      <c r="K12" s="157"/>
    </row>
    <row r="13" spans="2:11" ht="15.75" customHeight="1">
      <c r="B13" s="321"/>
      <c r="C13" s="162" t="s">
        <v>71</v>
      </c>
      <c r="D13" s="172">
        <v>18.27</v>
      </c>
      <c r="E13" s="172">
        <v>11.3</v>
      </c>
      <c r="F13" s="204">
        <v>0.01</v>
      </c>
      <c r="G13" s="160"/>
      <c r="J13" s="157"/>
      <c r="K13" s="157"/>
    </row>
    <row r="14" spans="2:11" ht="15.75" customHeight="1">
      <c r="B14" s="321"/>
      <c r="C14" s="162" t="s">
        <v>72</v>
      </c>
      <c r="D14" s="173">
        <f>(ROUND(D12,2)+ROUND(D13,2))/2</f>
        <v>18.274999999999999</v>
      </c>
      <c r="E14" s="173">
        <f>(ROUND(E12,2)+ROUND(E13,2))/2</f>
        <v>11.285</v>
      </c>
      <c r="F14" s="204"/>
      <c r="G14" s="160"/>
      <c r="J14" s="157"/>
      <c r="K14" s="157"/>
    </row>
    <row r="15" spans="2:11" ht="15.75" customHeight="1">
      <c r="B15" s="321"/>
      <c r="C15" s="162" t="s">
        <v>73</v>
      </c>
      <c r="D15" s="172">
        <v>18.3</v>
      </c>
      <c r="E15" s="172">
        <v>11.35</v>
      </c>
      <c r="F15" s="204">
        <v>0.01</v>
      </c>
      <c r="G15" s="160"/>
      <c r="J15" s="157"/>
      <c r="K15" s="157"/>
    </row>
    <row r="16" spans="2:11" ht="15.75" customHeight="1">
      <c r="B16" s="321"/>
      <c r="C16" s="162" t="s">
        <v>74</v>
      </c>
      <c r="D16" s="172">
        <v>18.260000000000002</v>
      </c>
      <c r="E16" s="172">
        <v>11.45</v>
      </c>
      <c r="F16" s="204">
        <v>0.01</v>
      </c>
      <c r="G16" s="160"/>
      <c r="J16" s="157"/>
      <c r="K16" s="157"/>
    </row>
    <row r="17" spans="2:11" ht="15.75" customHeight="1">
      <c r="B17" s="321"/>
      <c r="C17" s="162" t="s">
        <v>75</v>
      </c>
      <c r="D17" s="173">
        <f>(ROUND(D15,2)+ROUND(D16,2))/2</f>
        <v>18.28</v>
      </c>
      <c r="E17" s="173">
        <f>(ROUND(E15,2)+ROUND(E16,2))/2</f>
        <v>11.399999999999999</v>
      </c>
      <c r="F17" s="204"/>
      <c r="G17" s="160"/>
      <c r="J17" s="157"/>
      <c r="K17" s="157"/>
    </row>
    <row r="18" spans="2:11" ht="15.75" customHeight="1">
      <c r="B18" s="321"/>
      <c r="C18" s="162" t="s">
        <v>76</v>
      </c>
      <c r="D18" s="172">
        <v>18.329999999999998</v>
      </c>
      <c r="E18" s="172">
        <v>11.68</v>
      </c>
      <c r="F18" s="204">
        <v>0.01</v>
      </c>
      <c r="G18" s="160"/>
      <c r="J18" s="157"/>
      <c r="K18" s="157"/>
    </row>
    <row r="19" spans="2:11" ht="15.75" customHeight="1">
      <c r="B19" s="321"/>
      <c r="C19" s="162" t="s">
        <v>77</v>
      </c>
      <c r="D19" s="172">
        <v>18.309999999999999</v>
      </c>
      <c r="E19" s="172">
        <v>11.71</v>
      </c>
      <c r="F19" s="204">
        <v>0.01</v>
      </c>
      <c r="G19" s="160"/>
      <c r="J19" s="157"/>
      <c r="K19" s="157"/>
    </row>
    <row r="20" spans="2:11" ht="15.75" customHeight="1">
      <c r="B20" s="321"/>
      <c r="C20" s="162" t="s">
        <v>78</v>
      </c>
      <c r="D20" s="173">
        <f>(ROUND(D18,2)+ROUND(D19,2))/2</f>
        <v>18.32</v>
      </c>
      <c r="E20" s="173">
        <f>(ROUND(E18,2)+ROUND(E19,2))/2</f>
        <v>11.695</v>
      </c>
      <c r="F20" s="204"/>
      <c r="G20" s="160"/>
      <c r="J20" s="157"/>
      <c r="K20" s="157"/>
    </row>
    <row r="21" spans="2:11" ht="15.75" customHeight="1">
      <c r="B21" s="321"/>
      <c r="C21" s="162" t="s">
        <v>79</v>
      </c>
      <c r="D21" s="173">
        <f>D20-D14</f>
        <v>4.5000000000001705E-2</v>
      </c>
      <c r="E21" s="173">
        <f>E20-E14</f>
        <v>0.41000000000000014</v>
      </c>
      <c r="F21" s="205"/>
      <c r="G21" s="160"/>
      <c r="J21" s="157"/>
      <c r="K21" s="157"/>
    </row>
    <row r="22" spans="2:11" ht="3" customHeight="1">
      <c r="B22" s="321"/>
      <c r="C22" s="174"/>
      <c r="D22" s="175"/>
      <c r="E22" s="175"/>
      <c r="F22" s="206"/>
      <c r="G22" s="207"/>
      <c r="J22" s="157"/>
      <c r="K22" s="157"/>
    </row>
    <row r="23" spans="2:11" ht="15.75" customHeight="1">
      <c r="B23" s="321"/>
      <c r="C23" s="162" t="s">
        <v>80</v>
      </c>
      <c r="D23" s="172">
        <v>-2.5</v>
      </c>
      <c r="E23" s="172">
        <v>-2.5</v>
      </c>
      <c r="F23" s="208" t="s">
        <v>81</v>
      </c>
      <c r="G23" s="207"/>
      <c r="J23" s="157"/>
      <c r="K23" s="157"/>
    </row>
    <row r="24" spans="2:11" ht="15.75" customHeight="1">
      <c r="B24" s="321"/>
      <c r="C24" s="162" t="s">
        <v>82</v>
      </c>
      <c r="D24" s="172">
        <v>-0.4</v>
      </c>
      <c r="E24" s="172">
        <v>0</v>
      </c>
      <c r="F24" s="209" t="s">
        <v>83</v>
      </c>
      <c r="G24" s="207"/>
      <c r="J24" s="157"/>
      <c r="K24" s="157"/>
    </row>
    <row r="25" spans="2:11" ht="15.75" customHeight="1">
      <c r="B25" s="321"/>
      <c r="C25" s="162" t="s">
        <v>84</v>
      </c>
      <c r="D25" s="172">
        <v>12.45</v>
      </c>
      <c r="E25" s="172">
        <v>12.45</v>
      </c>
      <c r="F25" s="208" t="s">
        <v>85</v>
      </c>
      <c r="G25" s="207"/>
      <c r="J25" s="157"/>
      <c r="K25" s="157"/>
    </row>
    <row r="26" spans="2:11" ht="15.75" customHeight="1">
      <c r="B26" s="321"/>
      <c r="C26" s="162" t="s">
        <v>86</v>
      </c>
      <c r="D26" s="173">
        <f t="shared" ref="D26:E28" si="0">IF(D$9&gt;0,ROUND(D$21*D23/(D$9+D$23-D$25),3),0)</f>
        <v>0</v>
      </c>
      <c r="E26" s="173">
        <f t="shared" si="0"/>
        <v>-4.0000000000000001E-3</v>
      </c>
      <c r="F26" s="206"/>
      <c r="G26" s="207">
        <f>$D$9/1200</f>
        <v>0.23650000000000002</v>
      </c>
      <c r="J26" s="157"/>
      <c r="K26" s="157"/>
    </row>
    <row r="27" spans="2:11" ht="15.75" customHeight="1">
      <c r="B27" s="321"/>
      <c r="C27" s="162" t="s">
        <v>87</v>
      </c>
      <c r="D27" s="173">
        <f t="shared" si="0"/>
        <v>0</v>
      </c>
      <c r="E27" s="173">
        <f t="shared" si="0"/>
        <v>0</v>
      </c>
      <c r="F27" s="206"/>
      <c r="G27" s="207">
        <f>$D$9/800</f>
        <v>0.35475000000000001</v>
      </c>
      <c r="J27" s="157"/>
      <c r="K27" s="157"/>
    </row>
    <row r="28" spans="2:11" ht="15.75" customHeight="1">
      <c r="B28" s="321"/>
      <c r="C28" s="162" t="s">
        <v>88</v>
      </c>
      <c r="D28" s="173">
        <f t="shared" si="0"/>
        <v>2E-3</v>
      </c>
      <c r="E28" s="173">
        <f t="shared" si="0"/>
        <v>1.9E-2</v>
      </c>
      <c r="F28" s="206"/>
      <c r="G28" s="207">
        <f>$D$9/600</f>
        <v>0.47300000000000003</v>
      </c>
      <c r="J28" s="157"/>
      <c r="K28" s="157"/>
    </row>
    <row r="29" spans="2:11" ht="3.75" customHeight="1">
      <c r="B29" s="321"/>
      <c r="C29" s="162"/>
      <c r="D29" s="176">
        <f>ABS(D32-D35)</f>
        <v>1.8499999999995964E-2</v>
      </c>
      <c r="E29" s="176">
        <f>ABS(E32-E35)</f>
        <v>9.7500000000001918E-2</v>
      </c>
      <c r="F29" s="206"/>
      <c r="G29" s="160"/>
      <c r="J29" s="157"/>
      <c r="K29" s="157"/>
    </row>
    <row r="30" spans="2:11" ht="15.75" customHeight="1">
      <c r="B30" s="321"/>
      <c r="C30" s="162" t="s">
        <v>89</v>
      </c>
      <c r="D30" s="177" t="str">
        <f>IF(D29&lt;$G26,"正常，拱陷小于正常值！",IF(D29&lt;$G27,"异常，拱陷大于正常值！",IF(D29&lt;$G28,"异常！拱陷大于极限值！","异常！拱陷大于危险值！")))</f>
        <v>正常，拱陷小于正常值！</v>
      </c>
      <c r="E30" s="177" t="str">
        <f>IF(E29&lt;$G26,"正常，拱陷小于正常值！",IF(E29&lt;$G27,"异常，拱陷大于正常值！",IF(E29&lt;$G28,"异常！拱陷大于极限值！","异常！拱陷大于危险值！")))</f>
        <v>正常，拱陷小于正常值！</v>
      </c>
      <c r="F30" s="206"/>
      <c r="G30" s="160"/>
      <c r="J30" s="157"/>
      <c r="K30" s="157"/>
    </row>
    <row r="31" spans="2:11" ht="15.75" customHeight="1">
      <c r="B31" s="321"/>
      <c r="C31" s="162" t="s">
        <v>72</v>
      </c>
      <c r="D31" s="173">
        <f>D14+D26</f>
        <v>18.274999999999999</v>
      </c>
      <c r="E31" s="173">
        <f>E14+E26</f>
        <v>11.281000000000001</v>
      </c>
      <c r="F31" s="206"/>
      <c r="G31" s="160"/>
      <c r="J31" s="157"/>
      <c r="K31" s="157"/>
    </row>
    <row r="32" spans="2:11" ht="15.75" customHeight="1">
      <c r="B32" s="321"/>
      <c r="C32" s="162" t="s">
        <v>75</v>
      </c>
      <c r="D32" s="173">
        <f>D17+D27</f>
        <v>18.28</v>
      </c>
      <c r="E32" s="173">
        <f>E17+E27</f>
        <v>11.399999999999999</v>
      </c>
      <c r="F32" s="206"/>
      <c r="G32" s="160"/>
      <c r="J32" s="157"/>
      <c r="K32" s="157"/>
    </row>
    <row r="33" spans="2:11" ht="15.75" customHeight="1">
      <c r="B33" s="321"/>
      <c r="C33" s="162" t="s">
        <v>78</v>
      </c>
      <c r="D33" s="173">
        <f>D20+D28</f>
        <v>18.321999999999999</v>
      </c>
      <c r="E33" s="173">
        <f>E20+E28</f>
        <v>11.714</v>
      </c>
      <c r="F33" s="206"/>
      <c r="G33" s="160"/>
      <c r="J33" s="157"/>
      <c r="K33" s="157"/>
    </row>
    <row r="34" spans="2:11" ht="15.75" customHeight="1">
      <c r="B34" s="321"/>
      <c r="C34" s="162" t="s">
        <v>79</v>
      </c>
      <c r="D34" s="173">
        <f>ROUND(D33-D31,3)</f>
        <v>4.7E-2</v>
      </c>
      <c r="E34" s="173">
        <f>ROUND(E33-E31,3)</f>
        <v>0.433</v>
      </c>
      <c r="F34" s="206"/>
      <c r="G34" s="160"/>
      <c r="J34" s="157"/>
      <c r="K34" s="157"/>
    </row>
    <row r="35" spans="2:11" ht="15.75" customHeight="1">
      <c r="B35" s="321"/>
      <c r="C35" s="162" t="s">
        <v>90</v>
      </c>
      <c r="D35" s="178">
        <f>(D31+D33)/2</f>
        <v>18.298499999999997</v>
      </c>
      <c r="E35" s="178">
        <f>(E31+E33)/2</f>
        <v>11.4975</v>
      </c>
      <c r="F35" s="206"/>
      <c r="G35" s="160"/>
      <c r="J35" s="157"/>
      <c r="K35" s="157"/>
    </row>
    <row r="36" spans="2:11" ht="15.75" customHeight="1">
      <c r="B36" s="321"/>
      <c r="C36" s="162" t="s">
        <v>91</v>
      </c>
      <c r="D36" s="178">
        <f>(D32+D35)/2</f>
        <v>18.289249999999999</v>
      </c>
      <c r="E36" s="178">
        <f>(E32+E35)/2</f>
        <v>11.44875</v>
      </c>
      <c r="F36" s="206"/>
      <c r="G36" s="160"/>
      <c r="J36" s="157"/>
      <c r="K36" s="157"/>
    </row>
    <row r="37" spans="2:11" ht="15.75" customHeight="1">
      <c r="B37" s="322"/>
      <c r="C37" s="179" t="s">
        <v>92</v>
      </c>
      <c r="D37" s="180">
        <f>IF(MOD(INT(MOD(D38*1000,10)),2)&lt;0.0001,IF(MOD(D38*10000,10)-5&lt;0.0001,ROUND(D38-0.0001,3),ROUND(D38+0.0001,3)),ROUND(D38+0.0001,3))</f>
        <v>18.285</v>
      </c>
      <c r="E37" s="180">
        <f>IF(MOD(INT(MOD(E38*1000,10)),2)&lt;0.0001,IF(MOD(E38*10000,10)-5&lt;0.0001,ROUND(E38-0.0001,3),ROUND(E38+0.0001,3)),ROUND(E38+0.0001,3))</f>
        <v>11.423999999999999</v>
      </c>
      <c r="F37" s="210">
        <v>1E-3</v>
      </c>
      <c r="G37" s="160"/>
      <c r="J37" s="157"/>
      <c r="K37" s="157"/>
    </row>
    <row r="38" spans="2:11" ht="9" customHeight="1">
      <c r="B38" s="170"/>
      <c r="C38" s="168"/>
      <c r="D38" s="181">
        <f>(D31+6*D32+D33)/8</f>
        <v>18.284625000000002</v>
      </c>
      <c r="E38" s="181">
        <f>(E31+6*E32+E33)/8</f>
        <v>11.424375</v>
      </c>
      <c r="F38" s="206"/>
      <c r="G38" s="160"/>
      <c r="J38" s="157"/>
      <c r="K38" s="157"/>
    </row>
    <row r="39" spans="2:11" ht="15.75" customHeight="1">
      <c r="B39" s="317" t="s">
        <v>93</v>
      </c>
      <c r="C39" s="182" t="s">
        <v>94</v>
      </c>
      <c r="D39" s="183">
        <v>1.0209999999999999</v>
      </c>
      <c r="E39" s="183">
        <v>1.0209999999999999</v>
      </c>
      <c r="F39" s="198">
        <v>5.0000000000000001E-4</v>
      </c>
      <c r="G39" s="160"/>
      <c r="J39" s="157"/>
      <c r="K39" s="157"/>
    </row>
    <row r="40" spans="2:11" ht="15.75" customHeight="1">
      <c r="B40" s="318"/>
      <c r="C40" s="182" t="s">
        <v>95</v>
      </c>
      <c r="D40" s="184">
        <v>18.28</v>
      </c>
      <c r="E40" s="184">
        <v>11.42</v>
      </c>
      <c r="F40" s="206"/>
      <c r="G40" s="160"/>
      <c r="J40" s="157"/>
      <c r="K40" s="157"/>
    </row>
    <row r="41" spans="2:11" ht="15.75" customHeight="1">
      <c r="B41" s="318"/>
      <c r="C41" s="182" t="s">
        <v>96</v>
      </c>
      <c r="D41" s="172">
        <v>206984</v>
      </c>
      <c r="E41" s="172">
        <v>124090</v>
      </c>
      <c r="F41" s="202">
        <v>0.1</v>
      </c>
      <c r="G41" s="160"/>
      <c r="J41" s="157"/>
      <c r="K41" s="157"/>
    </row>
    <row r="42" spans="2:11" ht="15.75" customHeight="1">
      <c r="B42" s="318"/>
      <c r="C42" s="182" t="s">
        <v>97</v>
      </c>
      <c r="D42" s="172">
        <v>123.3</v>
      </c>
      <c r="E42" s="172">
        <v>116.7</v>
      </c>
      <c r="F42" s="202">
        <v>0.01</v>
      </c>
      <c r="G42" s="160"/>
      <c r="J42" s="157"/>
      <c r="K42" s="157"/>
    </row>
    <row r="43" spans="2:11" ht="15.75" customHeight="1">
      <c r="B43" s="318"/>
      <c r="C43" s="182" t="s">
        <v>98</v>
      </c>
      <c r="D43" s="172">
        <v>3.75</v>
      </c>
      <c r="E43" s="172">
        <v>-4.09</v>
      </c>
      <c r="F43" s="211" t="s">
        <v>99</v>
      </c>
      <c r="G43" s="212"/>
      <c r="J43" s="157"/>
      <c r="K43" s="157"/>
    </row>
    <row r="44" spans="2:11" ht="15.75" customHeight="1">
      <c r="B44" s="318"/>
      <c r="C44" s="182" t="s">
        <v>100</v>
      </c>
      <c r="D44" s="172">
        <v>2638.7</v>
      </c>
      <c r="E44" s="172">
        <v>2281.3000000000002</v>
      </c>
      <c r="F44" s="202">
        <v>0.01</v>
      </c>
      <c r="G44" s="160"/>
      <c r="J44" s="157"/>
      <c r="K44" s="157"/>
    </row>
    <row r="45" spans="2:11" ht="15.75" customHeight="1">
      <c r="B45" s="318"/>
      <c r="C45" s="182" t="s">
        <v>101</v>
      </c>
      <c r="D45" s="172">
        <v>2621.7</v>
      </c>
      <c r="E45" s="172">
        <v>2201.1</v>
      </c>
      <c r="F45" s="202">
        <v>0.01</v>
      </c>
      <c r="G45" s="160"/>
      <c r="J45" s="157"/>
      <c r="K45" s="157"/>
    </row>
    <row r="46" spans="2:11" ht="3.75" customHeight="1">
      <c r="B46" s="318"/>
      <c r="C46" s="185"/>
      <c r="D46" s="175"/>
      <c r="E46" s="175"/>
      <c r="F46" s="213"/>
      <c r="G46" s="160"/>
      <c r="J46" s="157"/>
      <c r="K46" s="157"/>
    </row>
    <row r="47" spans="2:11" ht="15.75" hidden="1" customHeight="1">
      <c r="B47" s="318"/>
      <c r="C47" s="186" t="s">
        <v>102</v>
      </c>
      <c r="D47" s="187">
        <f>IF(MOD(INT(MOD(D41*10,10)),2)&lt;0.0001,IF(MOD(D41*100,10)-5&lt;0.0001,ROUND(D41-0.0001,1),ROUND(D41+0.0001,1)),ROUND(D41+0.0001,1))</f>
        <v>206984</v>
      </c>
      <c r="E47" s="187">
        <f>IF(MOD(INT(MOD(E41*10,10)),2)&lt;0.0001,IF(MOD(E41*100,10)-5&lt;0.0001,ROUND(E41-0.0001,1),ROUND(E41+0.0001,1)),ROUND(E41+0.0001,1))</f>
        <v>124090</v>
      </c>
      <c r="F47" s="202">
        <v>0.1</v>
      </c>
      <c r="G47" s="160"/>
      <c r="J47" s="157"/>
      <c r="K47" s="157"/>
    </row>
    <row r="48" spans="2:11" ht="15.75" hidden="1" customHeight="1">
      <c r="B48" s="318"/>
      <c r="C48" s="188" t="s">
        <v>103</v>
      </c>
      <c r="D48" s="187">
        <f>IF(MOD(INT(MOD(D42*100,10)),2)&lt;0.0001,IF(MOD(D42*1000,10)-5&lt;0.0001,ROUND(D42-0.0001,2),ROUND(D42+0.0001,2)),ROUND(D42+0.0001,2))</f>
        <v>123.3</v>
      </c>
      <c r="E48" s="187">
        <f>IF(MOD(INT(MOD(E42*100,10)),2)&lt;0.0001,IF(MOD(E42*1000,10)-5&lt;0.0001,ROUND(E42-0.0001,2),ROUND(E42+0.0001,2)),ROUND(E42+0.0001,2))</f>
        <v>116.7</v>
      </c>
      <c r="F48" s="202">
        <v>0.01</v>
      </c>
      <c r="G48" s="160"/>
      <c r="J48" s="157"/>
      <c r="K48" s="157"/>
    </row>
    <row r="49" spans="2:11" ht="15.75" hidden="1" customHeight="1">
      <c r="B49" s="318"/>
      <c r="C49" s="188" t="s">
        <v>104</v>
      </c>
      <c r="D49" s="187">
        <f>IF(MOD(INT(MOD(D43*100,10)),2)&lt;0.0001,IF(MOD(D43*1000,10)-5&lt;0.0001,ROUND(D43-0.0001,2),ROUND(D43+0.0001,2)),ROUND(D43+0.0001,2))</f>
        <v>3.75</v>
      </c>
      <c r="E49" s="187">
        <f>IF(MOD(INT(MOD(E43*100,10)),2)&lt;0.0001,IF(MOD(E43*1000,10)-5&lt;0.0001,ROUND(E43-0.0001,2),ROUND(E43+0.0001,2)),ROUND(E43+0.0001,2))</f>
        <v>-4.09</v>
      </c>
      <c r="F49" s="202">
        <v>0.01</v>
      </c>
      <c r="G49" s="160"/>
      <c r="J49" s="157"/>
      <c r="K49" s="157"/>
    </row>
    <row r="50" spans="2:11" ht="15.75" hidden="1" customHeight="1">
      <c r="B50" s="318"/>
      <c r="C50" s="189" t="s">
        <v>100</v>
      </c>
      <c r="D50" s="187">
        <f>ROUND(D44,2)</f>
        <v>2638.7</v>
      </c>
      <c r="E50" s="187">
        <f>ROUND(E44,2)</f>
        <v>2281.3000000000002</v>
      </c>
      <c r="F50" s="202">
        <v>0.01</v>
      </c>
      <c r="G50" s="160"/>
      <c r="J50" s="157"/>
      <c r="K50" s="157"/>
    </row>
    <row r="51" spans="2:11" ht="15.75" hidden="1" customHeight="1">
      <c r="B51" s="318"/>
      <c r="C51" s="189" t="s">
        <v>101</v>
      </c>
      <c r="D51" s="187">
        <f>ROUND(D45,2)</f>
        <v>2621.7</v>
      </c>
      <c r="E51" s="187">
        <f>ROUND(E45,2)</f>
        <v>2201.1</v>
      </c>
      <c r="F51" s="202">
        <v>0.01</v>
      </c>
      <c r="G51" s="160"/>
      <c r="J51" s="157"/>
      <c r="K51" s="157"/>
    </row>
    <row r="52" spans="2:11" ht="15.75" hidden="1" customHeight="1">
      <c r="B52" s="318"/>
      <c r="C52" s="188" t="s">
        <v>105</v>
      </c>
      <c r="D52" s="187">
        <f>D48*D53</f>
        <v>61.649999999987735</v>
      </c>
      <c r="E52" s="187">
        <f>E48*E53</f>
        <v>46.679999999994862</v>
      </c>
      <c r="F52" s="202" t="s">
        <v>106</v>
      </c>
      <c r="G52" s="160"/>
      <c r="J52" s="157"/>
      <c r="K52" s="157"/>
    </row>
    <row r="53" spans="2:11" ht="15.75" customHeight="1">
      <c r="B53" s="318"/>
      <c r="C53" s="190" t="s">
        <v>107</v>
      </c>
      <c r="D53" s="191">
        <f>(D37-D40)*100</f>
        <v>0.49999999999990052</v>
      </c>
      <c r="E53" s="191">
        <f>(E37-E40)*100</f>
        <v>0.39999999999995595</v>
      </c>
      <c r="F53" s="202"/>
      <c r="G53" s="160"/>
      <c r="J53" s="157"/>
      <c r="K53" s="157"/>
    </row>
    <row r="54" spans="2:11" ht="15.75" customHeight="1">
      <c r="B54" s="318"/>
      <c r="C54" s="190" t="s">
        <v>108</v>
      </c>
      <c r="D54" s="192">
        <f>IF(MOD(INT(MOD(D52*10,10)),2)&lt;0.0001,IF(MOD(D52*100,10)-5&lt;0.0001,ROUND(D52-0.0001,1),ROUND(D52+0.0001,1)),ROUND(D52+0.0001,1))</f>
        <v>61.6</v>
      </c>
      <c r="E54" s="192">
        <f>IF(MOD(INT(MOD(E52*10,10)),2)&lt;0.0001,IF(MOD(E52*100,10)-5&lt;0.0001,ROUND(E52-0.0001,1),ROUND(E52+0.0001,1)),ROUND(E52+0.0001,1))</f>
        <v>46.7</v>
      </c>
      <c r="F54" s="202">
        <v>0.1</v>
      </c>
      <c r="G54" s="160"/>
      <c r="J54" s="157"/>
      <c r="K54" s="157"/>
    </row>
    <row r="55" spans="2:11" ht="15.75" customHeight="1">
      <c r="B55" s="318"/>
      <c r="C55" s="190" t="s">
        <v>109</v>
      </c>
      <c r="D55" s="191">
        <f>D47+D54</f>
        <v>207045.6</v>
      </c>
      <c r="E55" s="191">
        <f>E47+E54</f>
        <v>124136.7</v>
      </c>
      <c r="F55" s="206"/>
      <c r="G55" s="160"/>
      <c r="J55" s="157"/>
      <c r="K55" s="157"/>
    </row>
    <row r="56" spans="2:11" ht="15.75" customHeight="1">
      <c r="B56" s="318"/>
      <c r="C56" s="190" t="s">
        <v>110</v>
      </c>
      <c r="D56" s="193">
        <f>IF(D9&gt;0,ROUND(100*D34*D48*D49/D9,1),0)</f>
        <v>7.7</v>
      </c>
      <c r="E56" s="193">
        <f>IF(E9&gt;0,ROUND(100*E34*E48*E49/E9,1),0)</f>
        <v>-72.8</v>
      </c>
      <c r="F56" s="206"/>
      <c r="G56" s="160"/>
      <c r="J56" s="157"/>
      <c r="K56" s="157"/>
    </row>
    <row r="57" spans="2:11" ht="15.75" customHeight="1">
      <c r="B57" s="318"/>
      <c r="C57" s="190" t="s">
        <v>111</v>
      </c>
      <c r="D57" s="194">
        <f>ROUND(D50-D51,2)</f>
        <v>17</v>
      </c>
      <c r="E57" s="194">
        <f>ROUND(E50-E51,2)</f>
        <v>80.2</v>
      </c>
      <c r="F57" s="206"/>
      <c r="G57" s="160"/>
      <c r="J57" s="157"/>
      <c r="K57" s="157"/>
    </row>
    <row r="58" spans="2:11" ht="15.75" customHeight="1">
      <c r="B58" s="318"/>
      <c r="C58" s="190" t="s">
        <v>112</v>
      </c>
      <c r="D58" s="193">
        <f>ABS(ROUND(50*D34*D34*(D44-D45)/D9,1))</f>
        <v>0</v>
      </c>
      <c r="E58" s="193">
        <f>ABS(ROUND(50*E34*E34*(E44-E45)/水尺计算!$D9,1))</f>
        <v>2.6</v>
      </c>
      <c r="F58" s="206"/>
      <c r="G58" s="160"/>
      <c r="J58" s="157"/>
      <c r="K58" s="157"/>
    </row>
    <row r="59" spans="2:11" ht="15.75" customHeight="1">
      <c r="B59" s="318"/>
      <c r="C59" s="190" t="s">
        <v>113</v>
      </c>
      <c r="D59" s="191">
        <f>D56+D58</f>
        <v>7.7</v>
      </c>
      <c r="E59" s="191">
        <f>E56+E58</f>
        <v>-70.2</v>
      </c>
      <c r="F59" s="206"/>
      <c r="G59" s="160"/>
      <c r="J59" s="157"/>
      <c r="K59" s="157"/>
    </row>
    <row r="60" spans="2:11" ht="15.75" customHeight="1">
      <c r="B60" s="318"/>
      <c r="C60" s="190" t="s">
        <v>114</v>
      </c>
      <c r="D60" s="191">
        <f>D55+D59</f>
        <v>207053.30000000002</v>
      </c>
      <c r="E60" s="191">
        <f>E55+E59</f>
        <v>124066.5</v>
      </c>
      <c r="F60" s="206"/>
      <c r="G60" s="160"/>
      <c r="J60" s="157"/>
      <c r="K60" s="157"/>
    </row>
    <row r="61" spans="2:11" ht="15.75" customHeight="1">
      <c r="B61" s="318"/>
      <c r="C61" s="190" t="s">
        <v>115</v>
      </c>
      <c r="D61" s="191">
        <f>D62-D60</f>
        <v>-808.0000000000291</v>
      </c>
      <c r="E61" s="191">
        <f>E62-E60</f>
        <v>-484.19999999999709</v>
      </c>
      <c r="F61" s="206"/>
      <c r="G61" s="160"/>
      <c r="J61" s="157"/>
      <c r="K61" s="157"/>
    </row>
    <row r="62" spans="2:11" ht="15.75" customHeight="1">
      <c r="B62" s="319"/>
      <c r="C62" s="190" t="s">
        <v>116</v>
      </c>
      <c r="D62" s="193">
        <f>IF(ABS($D$4-1)&lt;0.1,ROUND(D60*D39/$D$4,1),"表载密度异常！")</f>
        <v>206245.3</v>
      </c>
      <c r="E62" s="193">
        <f>IF(ABS($D$4-1)&lt;0.1,ROUND(E60*E39/$D$4,1),"表载密度异常！")</f>
        <v>123582.3</v>
      </c>
      <c r="F62" s="206"/>
      <c r="G62" s="160"/>
      <c r="J62" s="157"/>
      <c r="K62" s="157"/>
    </row>
    <row r="63" spans="2:11" ht="3.75" customHeight="1">
      <c r="C63" s="195"/>
      <c r="D63" s="169"/>
      <c r="E63" s="169"/>
      <c r="F63" s="206"/>
      <c r="G63" s="160"/>
      <c r="J63" s="157"/>
      <c r="K63" s="157"/>
    </row>
    <row r="64" spans="2:11" ht="15.75" customHeight="1">
      <c r="B64" s="312" t="s">
        <v>117</v>
      </c>
      <c r="C64" s="190" t="s">
        <v>118</v>
      </c>
      <c r="D64" s="191">
        <f>船用物料!F10</f>
        <v>1922.6</v>
      </c>
      <c r="E64" s="191">
        <f>船用物料!H10</f>
        <v>1918.6</v>
      </c>
      <c r="F64" s="206"/>
      <c r="G64" s="160"/>
      <c r="J64" s="157"/>
      <c r="K64" s="157"/>
    </row>
    <row r="65" spans="2:11" ht="15.75" customHeight="1">
      <c r="B65" s="313"/>
      <c r="C65" s="190" t="s">
        <v>119</v>
      </c>
      <c r="D65" s="191">
        <f>船用物料!F16</f>
        <v>286</v>
      </c>
      <c r="E65" s="191">
        <f>船用物料!H16</f>
        <v>275</v>
      </c>
      <c r="F65" s="206"/>
      <c r="G65" s="160"/>
      <c r="J65" s="157"/>
      <c r="K65" s="157"/>
    </row>
    <row r="66" spans="2:11" ht="15.75" customHeight="1">
      <c r="B66" s="313"/>
      <c r="C66" s="190" t="s">
        <v>120</v>
      </c>
      <c r="D66" s="191">
        <f>船用物料!F65</f>
        <v>575</v>
      </c>
      <c r="E66" s="191">
        <f>船用物料!H65</f>
        <v>575</v>
      </c>
      <c r="F66" s="206"/>
      <c r="G66" s="160"/>
      <c r="J66" s="157"/>
      <c r="K66" s="157"/>
    </row>
    <row r="67" spans="2:11" ht="15.75" customHeight="1">
      <c r="B67" s="313"/>
      <c r="C67" s="190" t="s">
        <v>121</v>
      </c>
      <c r="D67" s="191">
        <f>船用物料!F72</f>
        <v>0</v>
      </c>
      <c r="E67" s="191">
        <f>船用物料!H72</f>
        <v>0</v>
      </c>
      <c r="F67" s="206"/>
      <c r="G67" s="160"/>
      <c r="J67" s="157"/>
      <c r="K67" s="157"/>
    </row>
    <row r="68" spans="2:11" ht="15.75" customHeight="1">
      <c r="B68" s="314"/>
      <c r="C68" s="214" t="s">
        <v>122</v>
      </c>
      <c r="D68" s="193">
        <f>SUM(D64:D67)</f>
        <v>2783.6</v>
      </c>
      <c r="E68" s="193">
        <f>SUM(E64:E67)</f>
        <v>2768.6</v>
      </c>
      <c r="F68" s="206"/>
      <c r="G68" s="160"/>
      <c r="J68" s="157"/>
      <c r="K68" s="157"/>
    </row>
    <row r="69" spans="2:11" ht="3.75" customHeight="1">
      <c r="C69" s="215"/>
      <c r="D69" s="216"/>
      <c r="E69" s="216"/>
      <c r="F69" s="206"/>
      <c r="G69" s="160"/>
      <c r="J69" s="157"/>
      <c r="K69" s="157"/>
    </row>
    <row r="70" spans="2:11" ht="15.75" customHeight="1">
      <c r="B70" s="312" t="s">
        <v>123</v>
      </c>
      <c r="C70" s="179" t="s">
        <v>124</v>
      </c>
      <c r="D70" s="193">
        <f>D62-D68-ROUND(D7,1)-ROUND(D8,1)</f>
        <v>177571.69999999998</v>
      </c>
      <c r="E70" s="218">
        <f>ROUND((D62-D68)-(E62-E68),1)</f>
        <v>82648</v>
      </c>
      <c r="F70" s="206"/>
      <c r="G70" s="160"/>
      <c r="J70" s="157"/>
      <c r="K70" s="157"/>
    </row>
    <row r="71" spans="2:11" ht="15.75" customHeight="1">
      <c r="B71" s="313"/>
      <c r="C71" s="179" t="s">
        <v>125</v>
      </c>
      <c r="D71" s="286" t="s">
        <v>126</v>
      </c>
      <c r="E71" s="193">
        <f>IF(MOD(INT(MOD(E70,10)),2)=0,IF(MOD(E70*10,10)-5&lt;0.0001,ROUND(E70-0.1,0),ROUND(E70+0.0001,0)),ROUND(E70+0.0001,0))</f>
        <v>82648</v>
      </c>
      <c r="F71" s="206"/>
      <c r="G71" s="160"/>
      <c r="J71" s="157"/>
      <c r="K71" s="157"/>
    </row>
    <row r="72" spans="2:11" ht="15.75" customHeight="1">
      <c r="B72" s="313"/>
      <c r="C72" s="179" t="s">
        <v>127</v>
      </c>
      <c r="D72" s="217">
        <f>D8</f>
        <v>531</v>
      </c>
      <c r="E72" s="191">
        <f>E62-E68-ROUND($D7,1)</f>
        <v>95454.7</v>
      </c>
      <c r="F72" s="206"/>
      <c r="G72" s="160"/>
      <c r="J72" s="157"/>
      <c r="K72" s="157"/>
    </row>
    <row r="73" spans="2:11">
      <c r="B73" s="314"/>
      <c r="C73" s="182" t="s">
        <v>128</v>
      </c>
      <c r="D73" s="191">
        <f>D70-货物信息!E13</f>
        <v>95821.699999999983</v>
      </c>
      <c r="E73" s="191">
        <f>E71-货物信息!E13</f>
        <v>898</v>
      </c>
    </row>
  </sheetData>
  <sheetProtection sheet="1" objects="1" scenarios="1" selectLockedCells="1"/>
  <mergeCells count="12">
    <mergeCell ref="B64:B68"/>
    <mergeCell ref="B70:B73"/>
    <mergeCell ref="D7:E7"/>
    <mergeCell ref="D8:E8"/>
    <mergeCell ref="B3:B8"/>
    <mergeCell ref="B12:B37"/>
    <mergeCell ref="B39:B62"/>
    <mergeCell ref="B2:E2"/>
    <mergeCell ref="D3:E3"/>
    <mergeCell ref="D4:E4"/>
    <mergeCell ref="D5:E5"/>
    <mergeCell ref="D6:E6"/>
  </mergeCells>
  <phoneticPr fontId="24" type="noConversion"/>
  <dataValidations count="1">
    <dataValidation type="decimal" allowBlank="1" showInputMessage="1" showErrorMessage="1" sqref="D5:E5" xr:uid="{00000000-0002-0000-0200-000000000000}">
      <formula1>0</formula1>
      <formula2>400</formula2>
    </dataValidation>
  </dataValidations>
  <pageMargins left="0.69930555555555596" right="0.69930555555555596" top="0.75" bottom="0.75" header="0.3" footer="0.3"/>
  <pageSetup paperSize="9" fitToWidth="0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tabSelected="1" workbookViewId="0">
      <selection activeCell="F13" sqref="F13"/>
    </sheetView>
  </sheetViews>
  <sheetFormatPr baseColWidth="10" defaultColWidth="9" defaultRowHeight="14"/>
  <cols>
    <col min="1" max="1" width="2.1640625" style="108" customWidth="1"/>
    <col min="2" max="2" width="2.6640625" style="108" customWidth="1"/>
    <col min="3" max="3" width="11.1640625" style="108" customWidth="1"/>
    <col min="4" max="5" width="10.1640625" style="108" customWidth="1"/>
    <col min="6" max="6" width="12.1640625" style="108" customWidth="1"/>
    <col min="7" max="7" width="10.1640625" style="108" customWidth="1"/>
    <col min="8" max="8" width="12.1640625" style="108" customWidth="1"/>
    <col min="9" max="9" width="12.1640625" style="109" customWidth="1"/>
    <col min="10" max="10" width="9" style="109"/>
    <col min="11" max="16384" width="9" style="108"/>
  </cols>
  <sheetData>
    <row r="1" spans="2:14" ht="15.75" customHeight="1"/>
    <row r="2" spans="2:14" ht="30" customHeight="1">
      <c r="C2" s="110" t="s">
        <v>129</v>
      </c>
      <c r="D2" s="110"/>
      <c r="E2" s="110"/>
      <c r="F2" s="122"/>
      <c r="G2" s="122"/>
      <c r="H2" s="122"/>
    </row>
    <row r="3" spans="2:14" ht="6" customHeight="1">
      <c r="H3" s="123"/>
    </row>
    <row r="4" spans="2:14" ht="15.75" customHeight="1">
      <c r="C4" s="111"/>
      <c r="D4" s="111"/>
      <c r="E4" s="323" t="s">
        <v>2</v>
      </c>
      <c r="F4" s="324"/>
      <c r="G4" s="323" t="s">
        <v>3</v>
      </c>
      <c r="H4" s="324"/>
      <c r="I4" s="108"/>
      <c r="J4" s="108"/>
      <c r="M4" s="109"/>
      <c r="N4" s="109"/>
    </row>
    <row r="5" spans="2:14" ht="15.75" customHeight="1">
      <c r="C5" s="325" t="s">
        <v>130</v>
      </c>
      <c r="D5" s="326"/>
      <c r="E5" s="327">
        <f>水尺计算!D34</f>
        <v>4.7E-2</v>
      </c>
      <c r="F5" s="328"/>
      <c r="G5" s="329">
        <f>水尺计算!E34</f>
        <v>0.433</v>
      </c>
      <c r="H5" s="328"/>
      <c r="I5" s="108"/>
      <c r="J5" s="108"/>
      <c r="M5" s="109"/>
      <c r="N5" s="109"/>
    </row>
    <row r="6" spans="2:14" ht="15.75" customHeight="1">
      <c r="B6" s="333" t="s">
        <v>131</v>
      </c>
      <c r="C6" s="325" t="s">
        <v>132</v>
      </c>
      <c r="D6" s="326"/>
      <c r="E6" s="341" t="s">
        <v>133</v>
      </c>
      <c r="F6" s="341"/>
      <c r="G6" s="124" t="s">
        <v>134</v>
      </c>
      <c r="H6" s="121" t="s">
        <v>133</v>
      </c>
      <c r="I6" s="121" t="s">
        <v>135</v>
      </c>
      <c r="J6" s="108"/>
      <c r="M6" s="109"/>
      <c r="N6" s="109"/>
    </row>
    <row r="7" spans="2:14" ht="15.75" customHeight="1">
      <c r="B7" s="334"/>
      <c r="C7" s="339" t="s">
        <v>136</v>
      </c>
      <c r="D7" s="340"/>
      <c r="E7" s="125"/>
      <c r="F7" s="126">
        <v>1626.4</v>
      </c>
      <c r="G7" s="127" t="s">
        <v>137</v>
      </c>
      <c r="H7" s="126">
        <v>1626.4</v>
      </c>
      <c r="I7" s="143">
        <f t="shared" ref="I7:I9" si="0">IF(ISNUMBER(G7),F7+G7-H7,F7-H7)</f>
        <v>0</v>
      </c>
      <c r="J7" s="108"/>
      <c r="M7" s="109"/>
      <c r="N7" s="109"/>
    </row>
    <row r="8" spans="2:14" ht="15.75" customHeight="1">
      <c r="B8" s="334"/>
      <c r="C8" s="339" t="s">
        <v>138</v>
      </c>
      <c r="D8" s="340"/>
      <c r="E8" s="125"/>
      <c r="F8" s="126">
        <v>249.1</v>
      </c>
      <c r="G8" s="127" t="s">
        <v>137</v>
      </c>
      <c r="H8" s="126">
        <v>245.1</v>
      </c>
      <c r="I8" s="143">
        <f t="shared" si="0"/>
        <v>4</v>
      </c>
      <c r="J8" s="108"/>
      <c r="M8" s="109"/>
      <c r="N8" s="109"/>
    </row>
    <row r="9" spans="2:14" ht="15.75" customHeight="1">
      <c r="B9" s="334"/>
      <c r="C9" s="339" t="s">
        <v>139</v>
      </c>
      <c r="D9" s="340"/>
      <c r="E9" s="125"/>
      <c r="F9" s="126">
        <v>47.1</v>
      </c>
      <c r="G9" s="127" t="s">
        <v>137</v>
      </c>
      <c r="H9" s="126">
        <v>47.1</v>
      </c>
      <c r="I9" s="143">
        <f t="shared" si="0"/>
        <v>0</v>
      </c>
      <c r="J9" s="108"/>
      <c r="M9" s="109"/>
      <c r="N9" s="109"/>
    </row>
    <row r="10" spans="2:14" ht="15.75" customHeight="1">
      <c r="B10" s="335"/>
      <c r="C10" s="339" t="s">
        <v>53</v>
      </c>
      <c r="D10" s="340"/>
      <c r="E10" s="125"/>
      <c r="F10" s="128">
        <f t="shared" ref="F10:I10" si="1">ROUND(SUM(F7:F9),1)</f>
        <v>1922.6</v>
      </c>
      <c r="G10" s="129">
        <f t="shared" si="1"/>
        <v>0</v>
      </c>
      <c r="H10" s="128">
        <f t="shared" si="1"/>
        <v>1918.6</v>
      </c>
      <c r="I10" s="128">
        <f t="shared" si="1"/>
        <v>4</v>
      </c>
      <c r="J10" s="108"/>
      <c r="M10" s="109"/>
      <c r="N10" s="109"/>
    </row>
    <row r="11" spans="2:14" ht="3.75" customHeight="1">
      <c r="D11" s="112"/>
      <c r="E11" s="130"/>
      <c r="F11" s="131"/>
      <c r="G11" s="132"/>
      <c r="H11" s="132"/>
      <c r="I11" s="132"/>
      <c r="J11" s="108"/>
      <c r="M11" s="109"/>
      <c r="N11" s="109"/>
    </row>
    <row r="12" spans="2:14" ht="15.75" customHeight="1">
      <c r="B12" s="333" t="s">
        <v>140</v>
      </c>
      <c r="C12" s="325" t="s">
        <v>141</v>
      </c>
      <c r="D12" s="326"/>
      <c r="E12" s="341" t="s">
        <v>133</v>
      </c>
      <c r="F12" s="341"/>
      <c r="G12" s="133" t="s">
        <v>134</v>
      </c>
      <c r="H12" s="121" t="s">
        <v>133</v>
      </c>
      <c r="I12" s="121" t="s">
        <v>135</v>
      </c>
      <c r="J12" s="108"/>
      <c r="M12" s="109"/>
      <c r="N12" s="109"/>
    </row>
    <row r="13" spans="2:14" ht="15.75" customHeight="1">
      <c r="B13" s="334"/>
      <c r="C13" s="342" t="s">
        <v>142</v>
      </c>
      <c r="D13" s="343"/>
      <c r="E13" s="125"/>
      <c r="F13" s="126">
        <v>100</v>
      </c>
      <c r="G13" s="127" t="s">
        <v>143</v>
      </c>
      <c r="H13" s="126">
        <v>100</v>
      </c>
      <c r="I13" s="143">
        <f t="shared" ref="I13:I15" si="2">IF(ISNUMBER(G13),F13+G13-H13,F13-H13)</f>
        <v>0</v>
      </c>
      <c r="J13" s="108"/>
      <c r="M13" s="109"/>
      <c r="N13" s="109"/>
    </row>
    <row r="14" spans="2:14" ht="15.75" customHeight="1">
      <c r="B14" s="334"/>
      <c r="C14" s="342" t="s">
        <v>144</v>
      </c>
      <c r="D14" s="343"/>
      <c r="E14" s="125"/>
      <c r="F14" s="126">
        <v>186</v>
      </c>
      <c r="G14" s="127" t="s">
        <v>143</v>
      </c>
      <c r="H14" s="126">
        <v>175</v>
      </c>
      <c r="I14" s="143">
        <f t="shared" si="2"/>
        <v>11</v>
      </c>
      <c r="J14" s="108"/>
      <c r="M14" s="109"/>
      <c r="N14" s="109"/>
    </row>
    <row r="15" spans="2:14" ht="15.75" customHeight="1">
      <c r="B15" s="334"/>
      <c r="C15" s="342"/>
      <c r="D15" s="343"/>
      <c r="E15" s="125"/>
      <c r="F15" s="126"/>
      <c r="G15" s="127" t="s">
        <v>143</v>
      </c>
      <c r="H15" s="126"/>
      <c r="I15" s="143">
        <f t="shared" si="2"/>
        <v>0</v>
      </c>
      <c r="J15" s="108"/>
      <c r="M15" s="109"/>
      <c r="N15" s="109"/>
    </row>
    <row r="16" spans="2:14" ht="15.75" customHeight="1">
      <c r="B16" s="335"/>
      <c r="C16" s="323" t="s">
        <v>53</v>
      </c>
      <c r="D16" s="324"/>
      <c r="E16" s="125"/>
      <c r="F16" s="128">
        <f t="shared" ref="F16:I16" si="3">ROUND(SUM(F13:F15),1)</f>
        <v>286</v>
      </c>
      <c r="G16" s="129">
        <f t="shared" si="3"/>
        <v>0</v>
      </c>
      <c r="H16" s="128">
        <f t="shared" si="3"/>
        <v>275</v>
      </c>
      <c r="I16" s="128">
        <f t="shared" si="3"/>
        <v>11</v>
      </c>
      <c r="J16" s="144"/>
      <c r="M16" s="109"/>
      <c r="N16" s="109"/>
    </row>
    <row r="17" spans="2:10" ht="3.75" customHeight="1">
      <c r="C17" s="114"/>
      <c r="D17" s="114"/>
      <c r="E17" s="134"/>
      <c r="F17" s="135"/>
      <c r="G17" s="136"/>
      <c r="H17" s="136"/>
    </row>
    <row r="18" spans="2:10" ht="15.75" customHeight="1">
      <c r="B18" s="336" t="s">
        <v>145</v>
      </c>
      <c r="C18" s="115" t="s">
        <v>146</v>
      </c>
      <c r="D18" s="116"/>
      <c r="E18" s="125"/>
      <c r="F18" s="137">
        <v>1.0249999999999999</v>
      </c>
      <c r="G18" s="125"/>
      <c r="H18" s="138">
        <f>水尺计算!E39</f>
        <v>1.0209999999999999</v>
      </c>
      <c r="I18" s="145" t="s">
        <v>147</v>
      </c>
    </row>
    <row r="19" spans="2:10" ht="15.75" customHeight="1">
      <c r="B19" s="337"/>
      <c r="C19" s="117" t="s">
        <v>148</v>
      </c>
      <c r="D19" s="117" t="s">
        <v>149</v>
      </c>
      <c r="E19" s="117" t="s">
        <v>150</v>
      </c>
      <c r="F19" s="121" t="s">
        <v>151</v>
      </c>
      <c r="G19" s="117" t="s">
        <v>150</v>
      </c>
      <c r="H19" s="121" t="s">
        <v>151</v>
      </c>
      <c r="I19" s="121" t="s">
        <v>152</v>
      </c>
    </row>
    <row r="20" spans="2:10" ht="15.75" customHeight="1">
      <c r="B20" s="337"/>
      <c r="C20" s="118" t="s">
        <v>153</v>
      </c>
      <c r="D20" s="119">
        <v>19</v>
      </c>
      <c r="E20" s="119">
        <v>7.0000000000000007E-2</v>
      </c>
      <c r="F20" s="126">
        <v>3.1</v>
      </c>
      <c r="G20" s="119">
        <v>7.0000000000000007E-2</v>
      </c>
      <c r="H20" s="126">
        <v>3.1</v>
      </c>
      <c r="I20" s="146" t="str">
        <f t="shared" ref="I20:I63" si="4">IF(H20&gt;F20,H20-F20,"")</f>
        <v/>
      </c>
      <c r="J20" s="147"/>
    </row>
    <row r="21" spans="2:10" ht="15.75" customHeight="1">
      <c r="B21" s="337"/>
      <c r="C21" s="118" t="s">
        <v>154</v>
      </c>
      <c r="D21" s="119">
        <v>23</v>
      </c>
      <c r="E21" s="119">
        <v>0</v>
      </c>
      <c r="F21" s="126">
        <v>6.3</v>
      </c>
      <c r="G21" s="119">
        <v>0</v>
      </c>
      <c r="H21" s="126">
        <v>6.3</v>
      </c>
      <c r="I21" s="146" t="str">
        <f t="shared" si="4"/>
        <v/>
      </c>
      <c r="J21" s="147"/>
    </row>
    <row r="22" spans="2:10" ht="15.75" customHeight="1">
      <c r="B22" s="337"/>
      <c r="C22" s="118" t="s">
        <v>155</v>
      </c>
      <c r="D22" s="119">
        <v>23</v>
      </c>
      <c r="E22" s="119">
        <v>0</v>
      </c>
      <c r="F22" s="126">
        <v>6.3</v>
      </c>
      <c r="G22" s="119">
        <v>0</v>
      </c>
      <c r="H22" s="126">
        <v>6.3</v>
      </c>
      <c r="I22" s="146" t="str">
        <f t="shared" si="4"/>
        <v/>
      </c>
      <c r="J22" s="147"/>
    </row>
    <row r="23" spans="2:10" ht="15.75" customHeight="1">
      <c r="B23" s="337"/>
      <c r="C23" s="118" t="s">
        <v>156</v>
      </c>
      <c r="D23" s="119">
        <v>23</v>
      </c>
      <c r="E23" s="119">
        <v>0</v>
      </c>
      <c r="F23" s="126">
        <v>12.2</v>
      </c>
      <c r="G23" s="119">
        <v>0</v>
      </c>
      <c r="H23" s="126">
        <v>12.2</v>
      </c>
      <c r="I23" s="146" t="str">
        <f t="shared" si="4"/>
        <v/>
      </c>
      <c r="J23" s="147"/>
    </row>
    <row r="24" spans="2:10" ht="15.75" customHeight="1">
      <c r="B24" s="337"/>
      <c r="C24" s="118" t="s">
        <v>157</v>
      </c>
      <c r="D24" s="119">
        <v>23</v>
      </c>
      <c r="E24" s="119">
        <v>0</v>
      </c>
      <c r="F24" s="126">
        <v>12.2</v>
      </c>
      <c r="G24" s="119">
        <v>0</v>
      </c>
      <c r="H24" s="126">
        <v>12.2</v>
      </c>
      <c r="I24" s="146" t="str">
        <f t="shared" si="4"/>
        <v/>
      </c>
      <c r="J24" s="147"/>
    </row>
    <row r="25" spans="2:10" ht="15.75" customHeight="1">
      <c r="B25" s="337"/>
      <c r="C25" s="118" t="s">
        <v>158</v>
      </c>
      <c r="D25" s="119">
        <v>23</v>
      </c>
      <c r="E25" s="119">
        <v>0</v>
      </c>
      <c r="F25" s="126">
        <v>11.4</v>
      </c>
      <c r="G25" s="119">
        <v>0</v>
      </c>
      <c r="H25" s="126">
        <v>11.4</v>
      </c>
      <c r="I25" s="146" t="str">
        <f t="shared" si="4"/>
        <v/>
      </c>
      <c r="J25" s="147"/>
    </row>
    <row r="26" spans="2:10" ht="15.75" customHeight="1">
      <c r="B26" s="337"/>
      <c r="C26" s="118" t="s">
        <v>159</v>
      </c>
      <c r="D26" s="119">
        <v>23</v>
      </c>
      <c r="E26" s="119">
        <v>0</v>
      </c>
      <c r="F26" s="126">
        <v>11.4</v>
      </c>
      <c r="G26" s="119">
        <v>0</v>
      </c>
      <c r="H26" s="126">
        <v>11.4</v>
      </c>
      <c r="I26" s="146" t="str">
        <f t="shared" si="4"/>
        <v/>
      </c>
      <c r="J26" s="147"/>
    </row>
    <row r="27" spans="2:10" ht="15.75" customHeight="1">
      <c r="B27" s="337"/>
      <c r="C27" s="118" t="s">
        <v>160</v>
      </c>
      <c r="D27" s="119">
        <v>23</v>
      </c>
      <c r="E27" s="119">
        <v>0</v>
      </c>
      <c r="F27" s="126">
        <v>14</v>
      </c>
      <c r="G27" s="119">
        <v>0</v>
      </c>
      <c r="H27" s="126">
        <v>14</v>
      </c>
      <c r="I27" s="146" t="str">
        <f t="shared" si="4"/>
        <v/>
      </c>
      <c r="J27" s="147"/>
    </row>
    <row r="28" spans="2:10" ht="15.75" customHeight="1">
      <c r="B28" s="337"/>
      <c r="C28" s="118" t="s">
        <v>161</v>
      </c>
      <c r="D28" s="119">
        <v>23</v>
      </c>
      <c r="E28" s="119">
        <v>0</v>
      </c>
      <c r="F28" s="126">
        <v>14</v>
      </c>
      <c r="G28" s="119">
        <v>0</v>
      </c>
      <c r="H28" s="126">
        <v>14</v>
      </c>
      <c r="I28" s="146" t="str">
        <f t="shared" si="4"/>
        <v/>
      </c>
      <c r="J28" s="147"/>
    </row>
    <row r="29" spans="2:10" ht="15.75" customHeight="1">
      <c r="B29" s="337"/>
      <c r="C29" s="118" t="s">
        <v>162</v>
      </c>
      <c r="D29" s="119">
        <v>23</v>
      </c>
      <c r="E29" s="119">
        <v>0</v>
      </c>
      <c r="F29" s="126">
        <v>16.2</v>
      </c>
      <c r="G29" s="119">
        <v>0</v>
      </c>
      <c r="H29" s="126">
        <v>16.2</v>
      </c>
      <c r="I29" s="146" t="str">
        <f t="shared" si="4"/>
        <v/>
      </c>
      <c r="J29" s="147"/>
    </row>
    <row r="30" spans="2:10" ht="15.75" customHeight="1">
      <c r="B30" s="337"/>
      <c r="C30" s="118" t="s">
        <v>163</v>
      </c>
      <c r="D30" s="119">
        <v>23</v>
      </c>
      <c r="E30" s="119">
        <v>0</v>
      </c>
      <c r="F30" s="126">
        <v>25.9</v>
      </c>
      <c r="G30" s="119">
        <v>0</v>
      </c>
      <c r="H30" s="126">
        <v>25.9</v>
      </c>
      <c r="I30" s="146" t="str">
        <f t="shared" si="4"/>
        <v/>
      </c>
      <c r="J30" s="147"/>
    </row>
    <row r="31" spans="2:10" ht="15.75" customHeight="1">
      <c r="B31" s="337"/>
      <c r="C31" s="118" t="s">
        <v>164</v>
      </c>
      <c r="D31" s="119">
        <v>23</v>
      </c>
      <c r="E31" s="119">
        <v>0</v>
      </c>
      <c r="F31" s="126">
        <v>11.7</v>
      </c>
      <c r="G31" s="119">
        <v>0</v>
      </c>
      <c r="H31" s="126">
        <v>11.7</v>
      </c>
      <c r="I31" s="146" t="str">
        <f t="shared" si="4"/>
        <v/>
      </c>
      <c r="J31" s="147"/>
    </row>
    <row r="32" spans="2:10" ht="15.75" customHeight="1">
      <c r="B32" s="337"/>
      <c r="C32" s="118" t="s">
        <v>165</v>
      </c>
      <c r="D32" s="119">
        <v>23</v>
      </c>
      <c r="E32" s="119">
        <v>0</v>
      </c>
      <c r="F32" s="126">
        <v>12.3</v>
      </c>
      <c r="G32" s="119">
        <v>0</v>
      </c>
      <c r="H32" s="126">
        <v>12.3</v>
      </c>
      <c r="I32" s="146" t="str">
        <f t="shared" si="4"/>
        <v/>
      </c>
      <c r="J32" s="147"/>
    </row>
    <row r="33" spans="2:10" ht="15.75" customHeight="1">
      <c r="B33" s="337"/>
      <c r="C33" s="118" t="s">
        <v>166</v>
      </c>
      <c r="D33" s="119">
        <v>16.3</v>
      </c>
      <c r="E33" s="119">
        <v>5.01</v>
      </c>
      <c r="F33" s="126">
        <v>404</v>
      </c>
      <c r="G33" s="119">
        <v>5.01</v>
      </c>
      <c r="H33" s="126">
        <v>404</v>
      </c>
      <c r="I33" s="146" t="str">
        <f t="shared" si="4"/>
        <v/>
      </c>
      <c r="J33" s="147"/>
    </row>
    <row r="34" spans="2:10" ht="15.75" customHeight="1">
      <c r="B34" s="337"/>
      <c r="C34" s="118"/>
      <c r="D34" s="119"/>
      <c r="E34" s="119"/>
      <c r="F34" s="126"/>
      <c r="G34" s="139"/>
      <c r="H34" s="126"/>
      <c r="I34" s="146" t="str">
        <f t="shared" si="4"/>
        <v/>
      </c>
      <c r="J34" s="147"/>
    </row>
    <row r="35" spans="2:10" ht="15.75" customHeight="1">
      <c r="B35" s="337"/>
      <c r="C35" s="118"/>
      <c r="D35" s="119"/>
      <c r="E35" s="119"/>
      <c r="F35" s="126"/>
      <c r="G35" s="139"/>
      <c r="H35" s="126"/>
      <c r="I35" s="146" t="str">
        <f t="shared" si="4"/>
        <v/>
      </c>
      <c r="J35" s="147"/>
    </row>
    <row r="36" spans="2:10" ht="15.75" customHeight="1">
      <c r="B36" s="337"/>
      <c r="C36" s="118"/>
      <c r="D36" s="119"/>
      <c r="E36" s="119"/>
      <c r="F36" s="126"/>
      <c r="G36" s="139"/>
      <c r="H36" s="126"/>
      <c r="I36" s="146" t="str">
        <f t="shared" si="4"/>
        <v/>
      </c>
      <c r="J36" s="147"/>
    </row>
    <row r="37" spans="2:10" ht="15.75" customHeight="1">
      <c r="B37" s="337"/>
      <c r="C37" s="118"/>
      <c r="D37" s="119"/>
      <c r="E37" s="119"/>
      <c r="F37" s="126"/>
      <c r="G37" s="139"/>
      <c r="H37" s="126"/>
      <c r="I37" s="146" t="str">
        <f t="shared" si="4"/>
        <v/>
      </c>
      <c r="J37" s="147"/>
    </row>
    <row r="38" spans="2:10" ht="15.75" customHeight="1">
      <c r="B38" s="337"/>
      <c r="C38" s="118"/>
      <c r="D38" s="119"/>
      <c r="E38" s="119"/>
      <c r="F38" s="126"/>
      <c r="G38" s="139"/>
      <c r="H38" s="126"/>
      <c r="I38" s="146" t="str">
        <f t="shared" si="4"/>
        <v/>
      </c>
      <c r="J38" s="147"/>
    </row>
    <row r="39" spans="2:10" ht="15.75" customHeight="1">
      <c r="B39" s="337"/>
      <c r="C39" s="118"/>
      <c r="D39" s="119"/>
      <c r="E39" s="119"/>
      <c r="F39" s="126"/>
      <c r="G39" s="139"/>
      <c r="H39" s="126"/>
      <c r="I39" s="146" t="str">
        <f t="shared" si="4"/>
        <v/>
      </c>
      <c r="J39" s="147"/>
    </row>
    <row r="40" spans="2:10" ht="15.75" customHeight="1">
      <c r="B40" s="337"/>
      <c r="C40" s="118"/>
      <c r="D40" s="119"/>
      <c r="E40" s="119"/>
      <c r="F40" s="126"/>
      <c r="G40" s="139"/>
      <c r="H40" s="126"/>
      <c r="I40" s="146" t="str">
        <f t="shared" si="4"/>
        <v/>
      </c>
      <c r="J40" s="147"/>
    </row>
    <row r="41" spans="2:10" ht="15.75" customHeight="1">
      <c r="B41" s="337"/>
      <c r="C41" s="118"/>
      <c r="D41" s="119"/>
      <c r="E41" s="119"/>
      <c r="F41" s="126"/>
      <c r="G41" s="139"/>
      <c r="H41" s="126"/>
      <c r="I41" s="146" t="str">
        <f t="shared" si="4"/>
        <v/>
      </c>
      <c r="J41" s="147"/>
    </row>
    <row r="42" spans="2:10" ht="15.75" customHeight="1">
      <c r="B42" s="337"/>
      <c r="C42" s="119"/>
      <c r="D42" s="119"/>
      <c r="E42" s="120"/>
      <c r="F42" s="140"/>
      <c r="G42" s="141"/>
      <c r="H42" s="140"/>
      <c r="I42" s="146" t="str">
        <f t="shared" si="4"/>
        <v/>
      </c>
      <c r="J42" s="147"/>
    </row>
    <row r="43" spans="2:10" ht="15.75" customHeight="1">
      <c r="B43" s="337"/>
      <c r="C43" s="119"/>
      <c r="D43" s="119"/>
      <c r="E43" s="120"/>
      <c r="F43" s="140"/>
      <c r="G43" s="141"/>
      <c r="H43" s="140"/>
      <c r="I43" s="146" t="str">
        <f t="shared" si="4"/>
        <v/>
      </c>
      <c r="J43" s="147"/>
    </row>
    <row r="44" spans="2:10" ht="15.75" customHeight="1">
      <c r="B44" s="337"/>
      <c r="C44" s="119"/>
      <c r="D44" s="119"/>
      <c r="E44" s="120"/>
      <c r="F44" s="140"/>
      <c r="G44" s="141"/>
      <c r="H44" s="140"/>
      <c r="I44" s="146" t="str">
        <f t="shared" si="4"/>
        <v/>
      </c>
      <c r="J44" s="147"/>
    </row>
    <row r="45" spans="2:10" ht="15.75" customHeight="1">
      <c r="B45" s="337"/>
      <c r="C45" s="119"/>
      <c r="D45" s="119"/>
      <c r="E45" s="120"/>
      <c r="F45" s="140"/>
      <c r="G45" s="141"/>
      <c r="H45" s="140"/>
      <c r="I45" s="146" t="str">
        <f t="shared" si="4"/>
        <v/>
      </c>
      <c r="J45" s="147"/>
    </row>
    <row r="46" spans="2:10" ht="15.75" customHeight="1">
      <c r="B46" s="337"/>
      <c r="C46" s="119"/>
      <c r="D46" s="119"/>
      <c r="E46" s="120"/>
      <c r="F46" s="140"/>
      <c r="G46" s="141"/>
      <c r="H46" s="140"/>
      <c r="I46" s="146" t="str">
        <f t="shared" si="4"/>
        <v/>
      </c>
      <c r="J46" s="147"/>
    </row>
    <row r="47" spans="2:10" ht="15.75" customHeight="1">
      <c r="B47" s="337"/>
      <c r="C47" s="119"/>
      <c r="D47" s="119"/>
      <c r="E47" s="120"/>
      <c r="F47" s="140"/>
      <c r="G47" s="141"/>
      <c r="H47" s="140"/>
      <c r="I47" s="146" t="str">
        <f t="shared" si="4"/>
        <v/>
      </c>
      <c r="J47" s="147"/>
    </row>
    <row r="48" spans="2:10" ht="15.75" customHeight="1">
      <c r="B48" s="337"/>
      <c r="C48" s="119"/>
      <c r="D48" s="119"/>
      <c r="E48" s="120"/>
      <c r="F48" s="140"/>
      <c r="G48" s="141"/>
      <c r="H48" s="140"/>
      <c r="I48" s="146" t="str">
        <f t="shared" si="4"/>
        <v/>
      </c>
      <c r="J48" s="147"/>
    </row>
    <row r="49" spans="2:10" ht="15.75" customHeight="1">
      <c r="B49" s="337"/>
      <c r="C49" s="119"/>
      <c r="D49" s="119"/>
      <c r="E49" s="120"/>
      <c r="F49" s="140"/>
      <c r="G49" s="141"/>
      <c r="H49" s="140"/>
      <c r="I49" s="146" t="str">
        <f t="shared" si="4"/>
        <v/>
      </c>
      <c r="J49" s="147"/>
    </row>
    <row r="50" spans="2:10" ht="15.75" customHeight="1">
      <c r="B50" s="337"/>
      <c r="C50" s="119"/>
      <c r="D50" s="119"/>
      <c r="E50" s="120"/>
      <c r="F50" s="140"/>
      <c r="G50" s="141"/>
      <c r="H50" s="140"/>
      <c r="I50" s="146" t="str">
        <f t="shared" si="4"/>
        <v/>
      </c>
      <c r="J50" s="147"/>
    </row>
    <row r="51" spans="2:10" ht="15.75" customHeight="1">
      <c r="B51" s="337"/>
      <c r="C51" s="120"/>
      <c r="D51" s="120"/>
      <c r="E51" s="120"/>
      <c r="F51" s="140"/>
      <c r="G51" s="141"/>
      <c r="H51" s="140"/>
      <c r="I51" s="146" t="str">
        <f t="shared" si="4"/>
        <v/>
      </c>
      <c r="J51" s="147"/>
    </row>
    <row r="52" spans="2:10" ht="15.75" customHeight="1">
      <c r="B52" s="337"/>
      <c r="C52" s="120"/>
      <c r="D52" s="120"/>
      <c r="E52" s="120"/>
      <c r="F52" s="140"/>
      <c r="G52" s="141"/>
      <c r="H52" s="140"/>
      <c r="I52" s="146" t="str">
        <f t="shared" si="4"/>
        <v/>
      </c>
      <c r="J52" s="147"/>
    </row>
    <row r="53" spans="2:10" ht="15.75" customHeight="1">
      <c r="B53" s="337"/>
      <c r="C53" s="120"/>
      <c r="D53" s="120"/>
      <c r="E53" s="120"/>
      <c r="F53" s="140"/>
      <c r="G53" s="141"/>
      <c r="H53" s="140"/>
      <c r="I53" s="146" t="str">
        <f t="shared" si="4"/>
        <v/>
      </c>
      <c r="J53" s="147"/>
    </row>
    <row r="54" spans="2:10" ht="15.75" customHeight="1">
      <c r="B54" s="337"/>
      <c r="C54" s="120"/>
      <c r="D54" s="120"/>
      <c r="E54" s="120"/>
      <c r="F54" s="140"/>
      <c r="G54" s="141"/>
      <c r="H54" s="140"/>
      <c r="I54" s="146" t="str">
        <f t="shared" si="4"/>
        <v/>
      </c>
      <c r="J54" s="147"/>
    </row>
    <row r="55" spans="2:10" ht="15.75" customHeight="1">
      <c r="B55" s="337"/>
      <c r="C55" s="120"/>
      <c r="D55" s="120"/>
      <c r="E55" s="120"/>
      <c r="F55" s="140"/>
      <c r="G55" s="141"/>
      <c r="H55" s="140"/>
      <c r="I55" s="146" t="str">
        <f t="shared" si="4"/>
        <v/>
      </c>
      <c r="J55" s="147"/>
    </row>
    <row r="56" spans="2:10" ht="15.75" customHeight="1">
      <c r="B56" s="337"/>
      <c r="C56" s="120"/>
      <c r="D56" s="120"/>
      <c r="E56" s="120"/>
      <c r="F56" s="140"/>
      <c r="G56" s="141"/>
      <c r="H56" s="140"/>
      <c r="I56" s="146" t="str">
        <f t="shared" si="4"/>
        <v/>
      </c>
      <c r="J56" s="147"/>
    </row>
    <row r="57" spans="2:10" ht="15.75" customHeight="1">
      <c r="B57" s="337"/>
      <c r="C57" s="120"/>
      <c r="D57" s="120"/>
      <c r="E57" s="120"/>
      <c r="F57" s="140"/>
      <c r="G57" s="141"/>
      <c r="H57" s="140"/>
      <c r="I57" s="146" t="str">
        <f t="shared" si="4"/>
        <v/>
      </c>
      <c r="J57" s="147"/>
    </row>
    <row r="58" spans="2:10" ht="15.75" customHeight="1">
      <c r="B58" s="337"/>
      <c r="C58" s="120"/>
      <c r="D58" s="120"/>
      <c r="E58" s="120"/>
      <c r="F58" s="140"/>
      <c r="G58" s="141"/>
      <c r="H58" s="140"/>
      <c r="I58" s="146" t="str">
        <f t="shared" si="4"/>
        <v/>
      </c>
      <c r="J58" s="147"/>
    </row>
    <row r="59" spans="2:10" ht="15.75" customHeight="1">
      <c r="B59" s="337"/>
      <c r="C59" s="120"/>
      <c r="D59" s="120"/>
      <c r="E59" s="120"/>
      <c r="F59" s="140"/>
      <c r="G59" s="141"/>
      <c r="H59" s="140"/>
      <c r="I59" s="146" t="str">
        <f t="shared" si="4"/>
        <v/>
      </c>
      <c r="J59" s="147"/>
    </row>
    <row r="60" spans="2:10" ht="15.75" customHeight="1">
      <c r="B60" s="337"/>
      <c r="C60" s="120"/>
      <c r="D60" s="120"/>
      <c r="E60" s="120"/>
      <c r="F60" s="140"/>
      <c r="G60" s="141"/>
      <c r="H60" s="140"/>
      <c r="I60" s="146" t="str">
        <f t="shared" si="4"/>
        <v/>
      </c>
      <c r="J60" s="147"/>
    </row>
    <row r="61" spans="2:10" ht="15.75" customHeight="1">
      <c r="B61" s="337"/>
      <c r="C61" s="120"/>
      <c r="D61" s="120"/>
      <c r="E61" s="120"/>
      <c r="F61" s="140"/>
      <c r="G61" s="141"/>
      <c r="H61" s="140"/>
      <c r="I61" s="146" t="str">
        <f t="shared" si="4"/>
        <v/>
      </c>
      <c r="J61" s="147"/>
    </row>
    <row r="62" spans="2:10" ht="15.75" customHeight="1">
      <c r="B62" s="337"/>
      <c r="C62" s="120"/>
      <c r="D62" s="120"/>
      <c r="E62" s="120"/>
      <c r="F62" s="140"/>
      <c r="G62" s="141"/>
      <c r="H62" s="140"/>
      <c r="I62" s="146" t="str">
        <f t="shared" si="4"/>
        <v/>
      </c>
      <c r="J62" s="147"/>
    </row>
    <row r="63" spans="2:10" ht="15.75" customHeight="1">
      <c r="B63" s="337"/>
      <c r="C63" s="120"/>
      <c r="D63" s="120"/>
      <c r="E63" s="120"/>
      <c r="F63" s="140"/>
      <c r="G63" s="141"/>
      <c r="H63" s="140"/>
      <c r="I63" s="146" t="str">
        <f t="shared" si="4"/>
        <v/>
      </c>
      <c r="J63" s="147"/>
    </row>
    <row r="64" spans="2:10" ht="15.75" customHeight="1">
      <c r="B64" s="337"/>
      <c r="C64" s="341" t="s">
        <v>53</v>
      </c>
      <c r="D64" s="121"/>
      <c r="E64" s="121" t="s">
        <v>167</v>
      </c>
      <c r="F64" s="142">
        <f t="shared" ref="F64:I64" si="5">ROUND(SUM(F20:F63),1)</f>
        <v>561</v>
      </c>
      <c r="G64" s="121" t="s">
        <v>167</v>
      </c>
      <c r="H64" s="142">
        <f t="shared" si="5"/>
        <v>561</v>
      </c>
      <c r="I64" s="142">
        <f t="shared" si="5"/>
        <v>0</v>
      </c>
    </row>
    <row r="65" spans="2:11" ht="15.75" customHeight="1">
      <c r="B65" s="337"/>
      <c r="C65" s="341"/>
      <c r="D65" s="121"/>
      <c r="E65" s="121" t="s">
        <v>168</v>
      </c>
      <c r="F65" s="128">
        <f>ROUND(F64*F18,1)</f>
        <v>575</v>
      </c>
      <c r="G65" s="121" t="s">
        <v>168</v>
      </c>
      <c r="H65" s="128">
        <f>ROUND(I65*F18+I64*H18,1)</f>
        <v>575</v>
      </c>
      <c r="I65" s="142">
        <f>ROUND(H64-I64,1)</f>
        <v>561</v>
      </c>
    </row>
    <row r="66" spans="2:11" ht="23.25" customHeight="1">
      <c r="B66" s="338"/>
      <c r="C66" s="121" t="s">
        <v>169</v>
      </c>
      <c r="D66" s="113"/>
      <c r="E66" s="330" t="s">
        <v>21</v>
      </c>
      <c r="F66" s="331"/>
      <c r="G66" s="331"/>
      <c r="H66" s="332"/>
      <c r="I66" s="109" t="b">
        <f>F18=H18</f>
        <v>0</v>
      </c>
    </row>
    <row r="67" spans="2:11" ht="3.75" customHeight="1">
      <c r="C67" s="132"/>
      <c r="D67" s="132"/>
      <c r="E67" s="132"/>
      <c r="F67" s="132"/>
      <c r="G67" s="132"/>
      <c r="H67" s="150"/>
    </row>
    <row r="68" spans="2:11" ht="15.75" customHeight="1">
      <c r="B68" s="333" t="s">
        <v>117</v>
      </c>
      <c r="C68" s="148"/>
      <c r="D68" s="148"/>
      <c r="E68" s="121" t="s">
        <v>43</v>
      </c>
      <c r="F68" s="121" t="s">
        <v>133</v>
      </c>
      <c r="G68" s="121" t="s">
        <v>43</v>
      </c>
      <c r="H68" s="121" t="s">
        <v>133</v>
      </c>
      <c r="I68" s="121" t="s">
        <v>170</v>
      </c>
    </row>
    <row r="69" spans="2:11" ht="15.75" customHeight="1">
      <c r="B69" s="334"/>
      <c r="C69" s="344" t="s">
        <v>171</v>
      </c>
      <c r="D69" s="149"/>
      <c r="E69" s="151"/>
      <c r="F69" s="152"/>
      <c r="G69" s="153"/>
      <c r="H69" s="152"/>
      <c r="I69" s="143">
        <f t="shared" ref="I69:I71" si="6">IF(ISNUMBER(G69),F69+G69-H69,F69-H69)</f>
        <v>0</v>
      </c>
    </row>
    <row r="70" spans="2:11" ht="15.75" customHeight="1">
      <c r="B70" s="334"/>
      <c r="C70" s="344"/>
      <c r="D70" s="149"/>
      <c r="E70" s="151"/>
      <c r="F70" s="152"/>
      <c r="G70" s="153"/>
      <c r="H70" s="152"/>
      <c r="I70" s="143">
        <f t="shared" si="6"/>
        <v>0</v>
      </c>
    </row>
    <row r="71" spans="2:11" ht="15.75" customHeight="1">
      <c r="B71" s="334"/>
      <c r="C71" s="344"/>
      <c r="D71" s="149"/>
      <c r="E71" s="151"/>
      <c r="F71" s="152"/>
      <c r="G71" s="153"/>
      <c r="H71" s="152"/>
      <c r="I71" s="143">
        <f t="shared" si="6"/>
        <v>0</v>
      </c>
    </row>
    <row r="72" spans="2:11" ht="15.75" customHeight="1">
      <c r="B72" s="335"/>
      <c r="C72" s="121" t="s">
        <v>53</v>
      </c>
      <c r="D72" s="121"/>
      <c r="E72" s="154"/>
      <c r="F72" s="155">
        <f>SUM(F69:F71)</f>
        <v>0</v>
      </c>
      <c r="G72" s="154"/>
      <c r="H72" s="155">
        <f>SUM(H69:H71)</f>
        <v>0</v>
      </c>
      <c r="I72" s="128">
        <f>ROUND(SUM(I69:I71),1)</f>
        <v>0</v>
      </c>
    </row>
    <row r="73" spans="2:11" ht="15.75" customHeight="1"/>
    <row r="74" spans="2:11" ht="15.75" customHeight="1"/>
    <row r="75" spans="2:11" ht="15.75" customHeight="1"/>
    <row r="76" spans="2:11" ht="15.75" customHeight="1"/>
    <row r="77" spans="2:11" ht="15.75" customHeight="1">
      <c r="K77" s="156"/>
    </row>
    <row r="78" spans="2:11" ht="6" customHeight="1"/>
  </sheetData>
  <sheetProtection sheet="1" objects="1" scenarios="1" selectLockedCells="1"/>
  <mergeCells count="24">
    <mergeCell ref="B68:B72"/>
    <mergeCell ref="C64:C65"/>
    <mergeCell ref="C69:C71"/>
    <mergeCell ref="C15:D15"/>
    <mergeCell ref="C16:D16"/>
    <mergeCell ref="E66:H66"/>
    <mergeCell ref="B6:B10"/>
    <mergeCell ref="B12:B16"/>
    <mergeCell ref="B18:B66"/>
    <mergeCell ref="C10:D10"/>
    <mergeCell ref="C12:D12"/>
    <mergeCell ref="E12:F12"/>
    <mergeCell ref="C13:D13"/>
    <mergeCell ref="C14:D14"/>
    <mergeCell ref="C6:D6"/>
    <mergeCell ref="E6:F6"/>
    <mergeCell ref="C7:D7"/>
    <mergeCell ref="C8:D8"/>
    <mergeCell ref="C9:D9"/>
    <mergeCell ref="E4:F4"/>
    <mergeCell ref="G4:H4"/>
    <mergeCell ref="C5:D5"/>
    <mergeCell ref="E5:F5"/>
    <mergeCell ref="G5:H5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16"/>
  <sheetViews>
    <sheetView workbookViewId="0">
      <selection activeCell="F8" sqref="F8"/>
    </sheetView>
  </sheetViews>
  <sheetFormatPr baseColWidth="10" defaultColWidth="9" defaultRowHeight="14"/>
  <cols>
    <col min="1" max="5" width="10.6640625" style="100" customWidth="1"/>
    <col min="6" max="6" width="14" style="100" customWidth="1"/>
    <col min="7" max="7" width="13.1640625" style="100" customWidth="1"/>
    <col min="8" max="8" width="19.1640625" style="100" customWidth="1"/>
    <col min="9" max="9" width="15.6640625" style="100" customWidth="1"/>
    <col min="10" max="10" width="17.1640625" style="100" customWidth="1"/>
    <col min="11" max="11" width="12.6640625" style="100" customWidth="1"/>
    <col min="12" max="12" width="11.83203125" style="100" customWidth="1"/>
    <col min="13" max="13" width="15.83203125" style="100" customWidth="1"/>
    <col min="14" max="16" width="14.1640625" style="100" customWidth="1"/>
    <col min="17" max="16384" width="9" style="100"/>
  </cols>
  <sheetData>
    <row r="2" spans="1:16">
      <c r="A2" s="101" t="s">
        <v>42</v>
      </c>
      <c r="B2" s="101" t="s">
        <v>172</v>
      </c>
      <c r="C2" s="101" t="s">
        <v>173</v>
      </c>
      <c r="D2" s="101" t="s">
        <v>26</v>
      </c>
      <c r="E2" s="101" t="s">
        <v>25</v>
      </c>
      <c r="F2" s="105" t="s">
        <v>174</v>
      </c>
      <c r="G2" s="105" t="s">
        <v>175</v>
      </c>
      <c r="H2" s="105" t="s">
        <v>176</v>
      </c>
      <c r="I2" s="105" t="s">
        <v>177</v>
      </c>
      <c r="J2" s="107" t="s">
        <v>178</v>
      </c>
      <c r="K2" s="105" t="s">
        <v>179</v>
      </c>
      <c r="L2" s="104"/>
      <c r="M2" s="104"/>
      <c r="N2" s="104"/>
      <c r="O2" s="104"/>
      <c r="P2" s="104"/>
    </row>
    <row r="3" spans="1:16">
      <c r="A3" s="102" t="str">
        <f>IF(ISBLANK(货物信息!C7),"",货物信息!C7)</f>
        <v>020220211000099242</v>
      </c>
      <c r="B3" s="102">
        <f>IF(A3&lt;&gt;"",工作记录!$C$6,"")</f>
        <v>44337</v>
      </c>
      <c r="C3" s="102" t="str">
        <f>IF(B3&lt;&gt;"",工作记录!$C$5,"")</f>
        <v>魏祥 郭启奎</v>
      </c>
      <c r="D3" s="102" t="str">
        <f>IF(C3&lt;&gt;"",工作记录!$C$18,"")</f>
        <v>MOUNT BOLIVAR</v>
      </c>
      <c r="E3" s="102" t="str">
        <f>IF(D3&lt;&gt;"",工作记录!$C$22&amp;","&amp;货物信息!$C$23,"")</f>
        <v>IAIMABARI SHIPBUILDING CO.，LTD,</v>
      </c>
      <c r="F3" s="106"/>
      <c r="G3" s="106"/>
      <c r="H3" s="106"/>
      <c r="I3" s="106"/>
      <c r="J3" s="106"/>
      <c r="K3" s="106"/>
      <c r="L3" s="104"/>
      <c r="M3" s="104"/>
      <c r="N3" s="104"/>
      <c r="O3" s="104"/>
      <c r="P3" s="104"/>
    </row>
    <row r="4" spans="1:16">
      <c r="A4" s="102" t="str">
        <f>IF(ISBLANK(货物信息!C8),"",货物信息!C8)</f>
        <v/>
      </c>
      <c r="B4" s="102" t="str">
        <f>IF(A4&lt;&gt;"",工作记录!$C$6,"")</f>
        <v/>
      </c>
      <c r="C4" s="102" t="str">
        <f>IF(B4&lt;&gt;"",工作记录!$C$5,"")</f>
        <v/>
      </c>
      <c r="D4" s="102" t="str">
        <f>IF(C4&lt;&gt;"",工作记录!$C$18,"")</f>
        <v/>
      </c>
      <c r="E4" s="102" t="str">
        <f>IF(D4&lt;&gt;"",工作记录!$C$22&amp;","&amp;货物信息!$C$23,"")</f>
        <v/>
      </c>
      <c r="F4" s="106"/>
      <c r="G4" s="106"/>
      <c r="H4" s="106"/>
      <c r="I4" s="106"/>
      <c r="J4" s="106"/>
      <c r="K4" s="106"/>
      <c r="L4" s="104"/>
      <c r="M4" s="104"/>
      <c r="N4" s="104"/>
      <c r="O4" s="104"/>
      <c r="P4" s="104"/>
    </row>
    <row r="5" spans="1:16">
      <c r="A5" s="102" t="str">
        <f>IF(ISBLANK(货物信息!C9),"",货物信息!C9)</f>
        <v/>
      </c>
      <c r="B5" s="102" t="str">
        <f>IF(A5&lt;&gt;"",工作记录!$C$6,"")</f>
        <v/>
      </c>
      <c r="C5" s="102" t="str">
        <f>IF(B5&lt;&gt;"",工作记录!$C$5,"")</f>
        <v/>
      </c>
      <c r="D5" s="102" t="str">
        <f>IF(C5&lt;&gt;"",工作记录!$C$18,"")</f>
        <v/>
      </c>
      <c r="E5" s="102" t="str">
        <f>IF(D5&lt;&gt;"",工作记录!$C$22&amp;","&amp;货物信息!$C$23,"")</f>
        <v/>
      </c>
      <c r="F5" s="106"/>
      <c r="G5" s="106"/>
      <c r="H5" s="106"/>
      <c r="I5" s="106"/>
      <c r="J5" s="106"/>
      <c r="K5" s="106"/>
      <c r="L5" s="104"/>
      <c r="M5" s="104"/>
      <c r="N5" s="104"/>
      <c r="O5" s="104"/>
      <c r="P5" s="104"/>
    </row>
    <row r="6" spans="1:16">
      <c r="A6" s="102" t="str">
        <f>IF(ISBLANK(货物信息!C10),"",货物信息!C10)</f>
        <v/>
      </c>
      <c r="B6" s="102" t="str">
        <f>IF(A6&lt;&gt;"",工作记录!$C$6,"")</f>
        <v/>
      </c>
      <c r="C6" s="102" t="str">
        <f>IF(B6&lt;&gt;"",工作记录!$C$5,"")</f>
        <v/>
      </c>
      <c r="D6" s="102" t="str">
        <f>IF(C6&lt;&gt;"",工作记录!$C$18,"")</f>
        <v/>
      </c>
      <c r="E6" s="102" t="str">
        <f>IF(D6&lt;&gt;"",工作记录!$C$22&amp;","&amp;货物信息!$C$23,"")</f>
        <v/>
      </c>
      <c r="F6" s="106"/>
      <c r="G6" s="106"/>
      <c r="H6" s="106"/>
      <c r="I6" s="106"/>
      <c r="J6" s="106"/>
      <c r="K6" s="106"/>
      <c r="L6" s="104"/>
      <c r="M6" s="104"/>
      <c r="N6" s="104"/>
      <c r="O6" s="104"/>
      <c r="P6" s="104"/>
    </row>
    <row r="7" spans="1:16">
      <c r="A7" s="102" t="str">
        <f>IF(ISBLANK(货物信息!C11),"",货物信息!C11)</f>
        <v/>
      </c>
      <c r="B7" s="102" t="str">
        <f>IF(A7&lt;&gt;"",工作记录!$C$6,"")</f>
        <v/>
      </c>
      <c r="C7" s="102" t="str">
        <f>IF(B7&lt;&gt;"",工作记录!$C$5,"")</f>
        <v/>
      </c>
      <c r="D7" s="102" t="str">
        <f>IF(C7&lt;&gt;"",工作记录!$C$18,"")</f>
        <v/>
      </c>
      <c r="E7" s="102" t="str">
        <f>IF(D7&lt;&gt;"",工作记录!$C$22&amp;","&amp;货物信息!$C$23,"")</f>
        <v/>
      </c>
      <c r="F7" s="106"/>
      <c r="G7" s="106"/>
      <c r="H7" s="106"/>
      <c r="I7" s="106"/>
      <c r="J7" s="106"/>
      <c r="K7" s="106"/>
      <c r="L7" s="104"/>
      <c r="M7" s="104"/>
      <c r="N7" s="104"/>
      <c r="O7" s="104"/>
      <c r="P7" s="104"/>
    </row>
    <row r="8" spans="1:16">
      <c r="A8" s="102" t="str">
        <f>IF(ISBLANK(货物信息!C12),"",货物信息!C12)</f>
        <v/>
      </c>
      <c r="B8" s="102" t="str">
        <f>IF(A8&lt;&gt;"",工作记录!$C$6,"")</f>
        <v/>
      </c>
      <c r="C8" s="102" t="str">
        <f>IF(B8&lt;&gt;"",工作记录!$C$5,"")</f>
        <v/>
      </c>
      <c r="D8" s="102" t="str">
        <f>IF(C8&lt;&gt;"",工作记录!$C$18,"")</f>
        <v/>
      </c>
      <c r="E8" s="102" t="str">
        <f>IF(D8&lt;&gt;"",工作记录!$C$22&amp;","&amp;货物信息!$C$23,"")</f>
        <v/>
      </c>
      <c r="F8" s="106"/>
      <c r="G8" s="106"/>
      <c r="H8" s="106"/>
      <c r="I8" s="106"/>
      <c r="J8" s="106"/>
      <c r="K8" s="106"/>
      <c r="L8" s="104"/>
      <c r="M8" s="104"/>
      <c r="N8" s="104"/>
      <c r="O8" s="104"/>
      <c r="P8" s="104"/>
    </row>
    <row r="10" spans="1:16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</row>
    <row r="11" spans="1:16">
      <c r="A11" s="103"/>
      <c r="B11" s="104"/>
      <c r="C11" s="103"/>
      <c r="D11" s="104"/>
      <c r="E11" s="104"/>
      <c r="F11" s="104"/>
      <c r="G11" s="103"/>
      <c r="H11" s="104"/>
      <c r="I11" s="104"/>
      <c r="J11" s="104"/>
      <c r="K11" s="104"/>
      <c r="L11" s="104"/>
      <c r="M11" s="104"/>
      <c r="N11" s="103"/>
      <c r="O11" s="104"/>
      <c r="P11" s="104"/>
    </row>
    <row r="12" spans="1:16">
      <c r="A12" s="103"/>
      <c r="B12" s="104"/>
      <c r="C12" s="104"/>
      <c r="D12" s="104"/>
      <c r="E12" s="104"/>
      <c r="F12" s="104"/>
      <c r="G12" s="104"/>
      <c r="H12" s="104"/>
      <c r="I12" s="103"/>
      <c r="J12" s="104"/>
      <c r="K12" s="103"/>
      <c r="L12" s="104"/>
      <c r="M12" s="104"/>
      <c r="N12" s="104"/>
      <c r="O12" s="104"/>
      <c r="P12" s="104"/>
    </row>
    <row r="13" spans="1:16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1:1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1:16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1:1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</sheetData>
  <sheetProtection sheet="1" objects="1" scenarios="1"/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B1:L31"/>
  <sheetViews>
    <sheetView workbookViewId="0">
      <selection activeCell="J7" sqref="J7"/>
    </sheetView>
  </sheetViews>
  <sheetFormatPr baseColWidth="10" defaultColWidth="9" defaultRowHeight="14"/>
  <cols>
    <col min="1" max="1" width="4.5" style="21" customWidth="1"/>
    <col min="2" max="2" width="10.83203125" style="21" customWidth="1"/>
    <col min="3" max="3" width="11" style="21" customWidth="1"/>
    <col min="4" max="4" width="11.1640625" style="21" customWidth="1"/>
    <col min="5" max="5" width="12.33203125" style="21" customWidth="1"/>
    <col min="6" max="6" width="11.33203125" style="21" customWidth="1"/>
    <col min="7" max="7" width="4.83203125" style="21" customWidth="1"/>
    <col min="8" max="8" width="7.33203125" style="21" customWidth="1"/>
    <col min="9" max="9" width="8.83203125" style="21" customWidth="1"/>
    <col min="10" max="10" width="13" style="21" customWidth="1"/>
    <col min="11" max="11" width="6.6640625" style="21" customWidth="1"/>
    <col min="12" max="16384" width="9" style="21"/>
  </cols>
  <sheetData>
    <row r="1" spans="2:12" ht="12.75" customHeight="1">
      <c r="J1" s="58"/>
    </row>
    <row r="2" spans="2:12" ht="12.75" customHeight="1">
      <c r="J2" s="58"/>
    </row>
    <row r="3" spans="2:12" ht="16.5" customHeight="1">
      <c r="B3" s="97" t="s">
        <v>180</v>
      </c>
    </row>
    <row r="4" spans="2:12" ht="27.75" customHeight="1">
      <c r="B4" s="23" t="s">
        <v>0</v>
      </c>
      <c r="C4" s="20"/>
      <c r="D4" s="20"/>
      <c r="E4" s="20"/>
      <c r="F4" s="20"/>
      <c r="G4" s="20"/>
      <c r="H4" s="20"/>
      <c r="I4" s="20"/>
      <c r="J4" s="20"/>
    </row>
    <row r="5" spans="2:12" ht="9.75" customHeight="1"/>
    <row r="6" spans="2:12" ht="28.5" customHeight="1">
      <c r="B6" s="25" t="s">
        <v>42</v>
      </c>
      <c r="C6" s="345" t="str">
        <f>IF(货物信息!C13="","合并报检号",货物信息!C13)</f>
        <v>020220211000099242</v>
      </c>
      <c r="D6" s="345"/>
      <c r="E6" s="25" t="s">
        <v>181</v>
      </c>
      <c r="F6" s="345" t="str">
        <f>工作记录!C18&amp;"/"&amp;工作记录!C19</f>
        <v>MOUNT BOLIVAR/1007</v>
      </c>
      <c r="G6" s="345"/>
      <c r="H6" s="345"/>
      <c r="I6" s="25" t="s">
        <v>182</v>
      </c>
      <c r="J6" s="52" t="str">
        <f>工作记录!C21</f>
        <v>LIBERIA</v>
      </c>
    </row>
    <row r="7" spans="2:12" ht="28.5" customHeight="1">
      <c r="B7" s="25" t="s">
        <v>183</v>
      </c>
      <c r="C7" s="345" t="str">
        <f>货物信息!C5</f>
        <v>天津金鑫国际货运代理有限公司</v>
      </c>
      <c r="D7" s="345"/>
      <c r="E7" s="25" t="s">
        <v>184</v>
      </c>
      <c r="F7" s="345" t="str">
        <f>货物信息!F5</f>
        <v>***/***</v>
      </c>
      <c r="G7" s="345"/>
      <c r="H7" s="345"/>
      <c r="I7" s="25" t="s">
        <v>185</v>
      </c>
      <c r="J7" s="52" t="str">
        <f ca="1">IF(ISNUMBER(工作记录!C23),ROUND((TODAY()-工作记录!C23)/365+0.5,0),1)&amp;"年"</f>
        <v>6年</v>
      </c>
      <c r="L7" s="98"/>
    </row>
    <row r="8" spans="2:12" ht="27.75" customHeight="1">
      <c r="B8" s="346" t="s">
        <v>186</v>
      </c>
      <c r="C8" s="346"/>
      <c r="D8" s="346" t="s">
        <v>2</v>
      </c>
      <c r="E8" s="346"/>
      <c r="F8" s="346"/>
      <c r="G8" s="346" t="s">
        <v>3</v>
      </c>
      <c r="H8" s="346"/>
      <c r="I8" s="346"/>
      <c r="J8" s="346"/>
    </row>
    <row r="9" spans="2:12" ht="27.75" customHeight="1">
      <c r="B9" s="346" t="s">
        <v>187</v>
      </c>
      <c r="C9" s="346"/>
      <c r="D9" s="347">
        <f>工作记录!C20</f>
        <v>44337.583333333299</v>
      </c>
      <c r="E9" s="347"/>
      <c r="F9" s="347"/>
      <c r="G9" s="346" t="s">
        <v>188</v>
      </c>
      <c r="H9" s="346"/>
      <c r="I9" s="346"/>
      <c r="J9" s="346"/>
    </row>
    <row r="10" spans="2:12" ht="28.5" customHeight="1">
      <c r="B10" s="346" t="s">
        <v>189</v>
      </c>
      <c r="C10" s="346"/>
      <c r="D10" s="346" t="str">
        <f>工作记录!C5</f>
        <v>魏祥 郭启奎</v>
      </c>
      <c r="E10" s="346"/>
      <c r="F10" s="346"/>
      <c r="G10" s="346" t="str">
        <f>工作记录!D5</f>
        <v>魏祥 郭启奎</v>
      </c>
      <c r="H10" s="346"/>
      <c r="I10" s="346"/>
      <c r="J10" s="346"/>
    </row>
    <row r="11" spans="2:12" ht="28.5" customHeight="1">
      <c r="B11" s="346" t="s">
        <v>190</v>
      </c>
      <c r="C11" s="346"/>
      <c r="D11" s="348">
        <f>工作记录!C6</f>
        <v>44337</v>
      </c>
      <c r="E11" s="348"/>
      <c r="F11" s="348"/>
      <c r="G11" s="348">
        <f>工作记录!D6</f>
        <v>44339</v>
      </c>
      <c r="H11" s="348"/>
      <c r="I11" s="348"/>
      <c r="J11" s="348"/>
    </row>
    <row r="12" spans="2:12" ht="27.75" customHeight="1">
      <c r="B12" s="346" t="s">
        <v>191</v>
      </c>
      <c r="C12" s="346"/>
      <c r="D12" s="346" t="str">
        <f>工作记录!C7</f>
        <v>18:00-19:00</v>
      </c>
      <c r="E12" s="346"/>
      <c r="F12" s="346"/>
      <c r="G12" s="346" t="str">
        <f>工作记录!D7</f>
        <v>10:30-11:30</v>
      </c>
      <c r="H12" s="346"/>
      <c r="I12" s="346"/>
      <c r="J12" s="346"/>
    </row>
    <row r="13" spans="2:12" ht="28.5" customHeight="1">
      <c r="B13" s="346" t="s">
        <v>192</v>
      </c>
      <c r="C13" s="346"/>
      <c r="D13" s="346" t="str">
        <f>工作记录!C8</f>
        <v>董家口D2</v>
      </c>
      <c r="E13" s="346"/>
      <c r="F13" s="346"/>
      <c r="G13" s="346" t="str">
        <f>工作记录!D8</f>
        <v>董家口D2</v>
      </c>
      <c r="H13" s="346"/>
      <c r="I13" s="346"/>
      <c r="J13" s="346"/>
    </row>
    <row r="14" spans="2:12" ht="27.75" customHeight="1">
      <c r="B14" s="346" t="s">
        <v>193</v>
      </c>
      <c r="C14" s="346"/>
      <c r="D14" s="346" t="str">
        <f>工作记录!C9</f>
        <v>晴</v>
      </c>
      <c r="E14" s="346"/>
      <c r="F14" s="346"/>
      <c r="G14" s="346" t="str">
        <f>工作记录!D9</f>
        <v>晴</v>
      </c>
      <c r="H14" s="346"/>
      <c r="I14" s="346"/>
      <c r="J14" s="346"/>
    </row>
    <row r="15" spans="2:12" ht="28.5" customHeight="1">
      <c r="B15" s="346" t="s">
        <v>194</v>
      </c>
      <c r="C15" s="346"/>
      <c r="D15" s="346" t="str">
        <f>工作记录!C10</f>
        <v>微浪</v>
      </c>
      <c r="E15" s="346"/>
      <c r="F15" s="346"/>
      <c r="G15" s="346" t="str">
        <f>工作记录!D10</f>
        <v>微浪</v>
      </c>
      <c r="H15" s="346"/>
      <c r="I15" s="346"/>
      <c r="J15" s="346"/>
    </row>
    <row r="16" spans="2:12" ht="28.5" customHeight="1">
      <c r="B16" s="25" t="s">
        <v>195</v>
      </c>
      <c r="C16" s="349" t="s">
        <v>196</v>
      </c>
      <c r="D16" s="350"/>
      <c r="E16" s="350"/>
      <c r="F16" s="350"/>
      <c r="G16" s="350"/>
      <c r="H16" s="350"/>
      <c r="I16" s="350"/>
      <c r="J16" s="351"/>
    </row>
    <row r="17" spans="2:10" ht="27.75" customHeight="1">
      <c r="B17" s="52" t="s">
        <v>16</v>
      </c>
      <c r="C17" s="346" t="str">
        <f>工作记录!C11&amp;"/"&amp;工作记录!D11</f>
        <v>10807/10807</v>
      </c>
      <c r="D17" s="346"/>
      <c r="E17" s="346" t="s">
        <v>197</v>
      </c>
      <c r="F17" s="346"/>
      <c r="G17" s="346" t="str">
        <f>工作记录!C12&amp;"/"&amp;工作记录!D12</f>
        <v>2018E41-20-1465272002/2018E41-20-1465272002</v>
      </c>
      <c r="H17" s="346"/>
      <c r="I17" s="346"/>
      <c r="J17" s="346"/>
    </row>
    <row r="18" spans="2:10" ht="22.5" customHeight="1">
      <c r="B18" s="358" t="s">
        <v>198</v>
      </c>
      <c r="C18" s="25" t="s">
        <v>199</v>
      </c>
      <c r="D18" s="25" t="s">
        <v>200</v>
      </c>
      <c r="E18" s="25" t="s">
        <v>45</v>
      </c>
      <c r="F18" s="346" t="s">
        <v>201</v>
      </c>
      <c r="G18" s="346"/>
      <c r="H18" s="346" t="s">
        <v>202</v>
      </c>
      <c r="I18" s="346"/>
      <c r="J18" s="25" t="s">
        <v>203</v>
      </c>
    </row>
    <row r="19" spans="2:10" ht="22.5" customHeight="1">
      <c r="B19" s="346"/>
      <c r="C19" s="52" t="str">
        <f>IF(货物信息!C7="","/",货物信息!C7)</f>
        <v>020220211000099242</v>
      </c>
      <c r="D19" s="52" t="str">
        <f>IF(货物信息!D7="","/",货物信息!D7)</f>
        <v>铁矿块</v>
      </c>
      <c r="E19" s="52" t="str">
        <f>IF(货物信息!F7="","/",货物信息!F7)</f>
        <v>1-9</v>
      </c>
      <c r="F19" s="352">
        <f>IF(货物信息!E7="","/",货物信息!E7)</f>
        <v>81750</v>
      </c>
      <c r="G19" s="352"/>
      <c r="H19" s="353">
        <f>IF(货物信息!I7="","/",货物信息!I7)</f>
        <v>82648</v>
      </c>
      <c r="I19" s="353"/>
      <c r="J19" s="99">
        <f>IF(货物信息!G7="","/",货物信息!G7)</f>
        <v>44339.416666666701</v>
      </c>
    </row>
    <row r="20" spans="2:10" ht="21.75" customHeight="1">
      <c r="B20" s="346"/>
      <c r="C20" s="52" t="str">
        <f>IF(货物信息!C8="","/",货物信息!C8)</f>
        <v>/</v>
      </c>
      <c r="D20" s="52" t="str">
        <f>IF(货物信息!D8="","/",货物信息!D8)</f>
        <v>/</v>
      </c>
      <c r="E20" s="52" t="str">
        <f>IF(货物信息!F8="","/",货物信息!F8)</f>
        <v>/</v>
      </c>
      <c r="F20" s="352" t="str">
        <f>IF(货物信息!E8="","/",货物信息!E8)</f>
        <v>/</v>
      </c>
      <c r="G20" s="352"/>
      <c r="H20" s="353" t="str">
        <f>IF(货物信息!I8="","/",货物信息!I8)</f>
        <v>/</v>
      </c>
      <c r="I20" s="353"/>
      <c r="J20" s="99" t="str">
        <f>IF(货物信息!G8="","/",货物信息!G8)</f>
        <v>/</v>
      </c>
    </row>
    <row r="21" spans="2:10" ht="22.5" customHeight="1">
      <c r="B21" s="346"/>
      <c r="C21" s="52" t="str">
        <f>IF(货物信息!C9="","/",货物信息!C9)</f>
        <v>/</v>
      </c>
      <c r="D21" s="52" t="str">
        <f>IF(货物信息!D9="","/",货物信息!D9)</f>
        <v>/</v>
      </c>
      <c r="E21" s="52" t="str">
        <f>IF(货物信息!F9="","/",货物信息!F9)</f>
        <v>/</v>
      </c>
      <c r="F21" s="352" t="str">
        <f>IF(货物信息!E9="","/",货物信息!E9)</f>
        <v>/</v>
      </c>
      <c r="G21" s="352"/>
      <c r="H21" s="353" t="str">
        <f>IF(货物信息!I9="","/",货物信息!I9)</f>
        <v>/</v>
      </c>
      <c r="I21" s="353"/>
      <c r="J21" s="99" t="str">
        <f>IF(货物信息!G9="","/",货物信息!G9)</f>
        <v>/</v>
      </c>
    </row>
    <row r="22" spans="2:10" ht="22.5" customHeight="1">
      <c r="B22" s="346"/>
      <c r="C22" s="52" t="str">
        <f>IF(货物信息!C10="","/",货物信息!C10)</f>
        <v>/</v>
      </c>
      <c r="D22" s="52" t="str">
        <f>IF(货物信息!D10="","/",货物信息!D10)</f>
        <v>/</v>
      </c>
      <c r="E22" s="52" t="str">
        <f>IF(货物信息!F10="","/",货物信息!F10)</f>
        <v>/</v>
      </c>
      <c r="F22" s="352" t="str">
        <f>IF(货物信息!E10="","/",货物信息!E10)</f>
        <v>/</v>
      </c>
      <c r="G22" s="352"/>
      <c r="H22" s="353" t="str">
        <f>IF(货物信息!I10="","/",货物信息!I10)</f>
        <v>/</v>
      </c>
      <c r="I22" s="353"/>
      <c r="J22" s="99" t="str">
        <f>IF(货物信息!G10="","/",货物信息!G10)</f>
        <v>/</v>
      </c>
    </row>
    <row r="23" spans="2:10" ht="21.75" customHeight="1">
      <c r="B23" s="346"/>
      <c r="C23" s="52" t="str">
        <f>IF(货物信息!C11="","/",货物信息!C11)</f>
        <v>/</v>
      </c>
      <c r="D23" s="52" t="str">
        <f>IF(货物信息!D11="","/",货物信息!D11)</f>
        <v>/</v>
      </c>
      <c r="E23" s="52" t="str">
        <f>IF(货物信息!F11="","/",货物信息!F11)</f>
        <v>/</v>
      </c>
      <c r="F23" s="352" t="str">
        <f>IF(货物信息!E11="","/",货物信息!E11)</f>
        <v>/</v>
      </c>
      <c r="G23" s="352"/>
      <c r="H23" s="353" t="str">
        <f>IF(货物信息!I11="","/",货物信息!I11)</f>
        <v>/</v>
      </c>
      <c r="I23" s="353"/>
      <c r="J23" s="99" t="str">
        <f>IF(货物信息!G11="","/",货物信息!G11)</f>
        <v>/</v>
      </c>
    </row>
    <row r="24" spans="2:10" ht="22.5" customHeight="1">
      <c r="B24" s="346"/>
      <c r="C24" s="52" t="str">
        <f>IF(货物信息!C12="","/",货物信息!C12)</f>
        <v>/</v>
      </c>
      <c r="D24" s="52" t="str">
        <f>IF(货物信息!D12="","/",货物信息!D12)</f>
        <v>/</v>
      </c>
      <c r="E24" s="52" t="str">
        <f>IF(货物信息!F12="","/",货物信息!F12)</f>
        <v>/</v>
      </c>
      <c r="F24" s="352" t="str">
        <f>IF(货物信息!E12="","/",货物信息!E12)</f>
        <v>/</v>
      </c>
      <c r="G24" s="352"/>
      <c r="H24" s="353" t="str">
        <f>IF(货物信息!I12="","/",货物信息!I12)</f>
        <v>/</v>
      </c>
      <c r="I24" s="353"/>
      <c r="J24" s="99" t="str">
        <f>IF(货物信息!G12="","/",货物信息!G12)</f>
        <v>/</v>
      </c>
    </row>
    <row r="25" spans="2:10" ht="18" customHeight="1">
      <c r="B25" s="359" t="s">
        <v>204</v>
      </c>
      <c r="C25" s="359"/>
      <c r="D25" s="359"/>
      <c r="E25" s="359"/>
      <c r="F25" s="359"/>
      <c r="G25" s="359"/>
      <c r="H25" s="359"/>
      <c r="I25" s="359"/>
      <c r="J25" s="359"/>
    </row>
    <row r="26" spans="2:10" ht="32.25" customHeight="1">
      <c r="B26" s="360" t="str">
        <f>工作记录!C13</f>
        <v>无</v>
      </c>
      <c r="C26" s="361"/>
      <c r="D26" s="361"/>
      <c r="E26" s="361"/>
      <c r="F26" s="361"/>
      <c r="G26" s="361"/>
      <c r="H26" s="361"/>
      <c r="I26" s="361"/>
      <c r="J26" s="362"/>
    </row>
    <row r="27" spans="2:10" ht="18" customHeight="1">
      <c r="B27" s="359" t="s">
        <v>205</v>
      </c>
      <c r="C27" s="359"/>
      <c r="D27" s="359"/>
      <c r="E27" s="359"/>
      <c r="F27" s="359"/>
      <c r="G27" s="359"/>
      <c r="H27" s="359"/>
      <c r="I27" s="359"/>
      <c r="J27" s="359"/>
    </row>
    <row r="28" spans="2:10" ht="32.25" customHeight="1">
      <c r="B28" s="354" t="str">
        <f>工作记录!C14</f>
        <v>无</v>
      </c>
      <c r="C28" s="355"/>
      <c r="D28" s="355"/>
      <c r="E28" s="355"/>
      <c r="F28" s="355"/>
      <c r="G28" s="355"/>
      <c r="H28" s="355"/>
      <c r="I28" s="355"/>
      <c r="J28" s="356"/>
    </row>
    <row r="29" spans="2:10" ht="17.25" customHeight="1">
      <c r="B29" s="357" t="s">
        <v>206</v>
      </c>
      <c r="C29" s="357"/>
      <c r="F29" s="357" t="s">
        <v>207</v>
      </c>
      <c r="G29" s="357"/>
    </row>
    <row r="30" spans="2:10" ht="12" customHeight="1"/>
    <row r="31" spans="2:10">
      <c r="B31" s="18" t="s">
        <v>208</v>
      </c>
      <c r="C31" s="20"/>
      <c r="D31" s="20"/>
      <c r="E31" s="20"/>
      <c r="F31" s="20"/>
      <c r="G31" s="20"/>
      <c r="H31" s="20"/>
      <c r="I31" s="20"/>
      <c r="J31" s="20"/>
    </row>
  </sheetData>
  <sheetProtection selectLockedCells="1"/>
  <mergeCells count="53">
    <mergeCell ref="B28:J28"/>
    <mergeCell ref="B29:C29"/>
    <mergeCell ref="F29:G29"/>
    <mergeCell ref="B18:B24"/>
    <mergeCell ref="F24:G24"/>
    <mergeCell ref="H24:I24"/>
    <mergeCell ref="B25:J25"/>
    <mergeCell ref="B26:J26"/>
    <mergeCell ref="B27:J27"/>
    <mergeCell ref="F21:G21"/>
    <mergeCell ref="H21:I21"/>
    <mergeCell ref="F22:G22"/>
    <mergeCell ref="H22:I22"/>
    <mergeCell ref="F23:G23"/>
    <mergeCell ref="H23:I23"/>
    <mergeCell ref="F18:G18"/>
    <mergeCell ref="H18:I18"/>
    <mergeCell ref="F19:G19"/>
    <mergeCell ref="H19:I19"/>
    <mergeCell ref="F20:G20"/>
    <mergeCell ref="H20:I20"/>
    <mergeCell ref="B15:C15"/>
    <mergeCell ref="D15:F15"/>
    <mergeCell ref="G15:J15"/>
    <mergeCell ref="C16:J16"/>
    <mergeCell ref="C17:D17"/>
    <mergeCell ref="E17:F17"/>
    <mergeCell ref="G17:J17"/>
    <mergeCell ref="B13:C13"/>
    <mergeCell ref="D13:F13"/>
    <mergeCell ref="G13:J13"/>
    <mergeCell ref="B14:C14"/>
    <mergeCell ref="D14:F14"/>
    <mergeCell ref="G14:J14"/>
    <mergeCell ref="B11:C11"/>
    <mergeCell ref="D11:F11"/>
    <mergeCell ref="G11:J11"/>
    <mergeCell ref="B12:C12"/>
    <mergeCell ref="D12:F12"/>
    <mergeCell ref="G12:J12"/>
    <mergeCell ref="B9:C9"/>
    <mergeCell ref="D9:F9"/>
    <mergeCell ref="G9:J9"/>
    <mergeCell ref="B10:C10"/>
    <mergeCell ref="D10:F10"/>
    <mergeCell ref="G10:J10"/>
    <mergeCell ref="C6:D6"/>
    <mergeCell ref="F6:H6"/>
    <mergeCell ref="C7:D7"/>
    <mergeCell ref="F7:H7"/>
    <mergeCell ref="B8:C8"/>
    <mergeCell ref="D8:F8"/>
    <mergeCell ref="G8:J8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1:P40"/>
  <sheetViews>
    <sheetView workbookViewId="0">
      <selection activeCell="E3" sqref="E3"/>
    </sheetView>
  </sheetViews>
  <sheetFormatPr baseColWidth="10" defaultColWidth="9" defaultRowHeight="13"/>
  <cols>
    <col min="1" max="1" width="4.5" style="66" customWidth="1"/>
    <col min="2" max="2" width="4.6640625" style="66" customWidth="1"/>
    <col min="3" max="3" width="5.5" style="66" customWidth="1"/>
    <col min="4" max="4" width="7.33203125" style="66" customWidth="1"/>
    <col min="5" max="5" width="5.83203125" style="66" customWidth="1"/>
    <col min="6" max="6" width="6.1640625" style="66" customWidth="1"/>
    <col min="7" max="7" width="4.1640625" style="66" customWidth="1"/>
    <col min="8" max="8" width="8.83203125" style="66" customWidth="1"/>
    <col min="9" max="9" width="11.33203125" style="66" customWidth="1"/>
    <col min="10" max="10" width="5.83203125" style="66" customWidth="1"/>
    <col min="11" max="11" width="10.1640625" style="66" customWidth="1"/>
    <col min="12" max="12" width="10.5" style="66" customWidth="1"/>
    <col min="13" max="13" width="9.83203125" style="66" customWidth="1"/>
    <col min="14" max="14" width="6.6640625" style="66" customWidth="1"/>
    <col min="15" max="16" width="9" style="66" hidden="1" customWidth="1"/>
    <col min="17" max="16384" width="9" style="66"/>
  </cols>
  <sheetData>
    <row r="1" spans="2:13" ht="14">
      <c r="L1" s="363"/>
      <c r="M1" s="363"/>
    </row>
    <row r="2" spans="2:13" ht="14.25" customHeight="1"/>
    <row r="3" spans="2:13" ht="18" customHeight="1">
      <c r="B3" s="357" t="s">
        <v>209</v>
      </c>
      <c r="C3" s="357"/>
      <c r="D3" s="357"/>
      <c r="E3" s="18"/>
      <c r="F3" s="18"/>
      <c r="G3" s="18"/>
      <c r="H3" s="18"/>
      <c r="I3" s="18"/>
      <c r="J3" s="18"/>
      <c r="K3" s="18"/>
      <c r="L3" s="18"/>
      <c r="M3" s="18"/>
    </row>
    <row r="4" spans="2:13" ht="12.75" customHeight="1">
      <c r="F4" s="364" t="s">
        <v>210</v>
      </c>
      <c r="G4" s="365"/>
    </row>
    <row r="5" spans="2:13" ht="15.75" customHeight="1">
      <c r="F5" s="366" t="s">
        <v>211</v>
      </c>
      <c r="G5" s="366"/>
      <c r="H5" s="78" t="s">
        <v>212</v>
      </c>
    </row>
    <row r="6" spans="2:13" ht="16.5" customHeight="1">
      <c r="F6" s="367" t="s">
        <v>213</v>
      </c>
      <c r="G6" s="367"/>
    </row>
    <row r="7" spans="2:13" ht="20.25" customHeight="1">
      <c r="C7" s="67" t="s">
        <v>214</v>
      </c>
      <c r="D7" s="368" t="str">
        <f>水尺计算!D3</f>
        <v>MOUNT BOLIVAR</v>
      </c>
      <c r="E7" s="368"/>
      <c r="F7" s="368"/>
      <c r="G7" s="368"/>
      <c r="H7" s="79"/>
      <c r="I7" s="79"/>
      <c r="J7" s="79"/>
      <c r="K7" s="67" t="s">
        <v>215</v>
      </c>
      <c r="L7" s="369">
        <f>工作记录!D6</f>
        <v>44339</v>
      </c>
      <c r="M7" s="369"/>
    </row>
    <row r="8" spans="2:13" ht="15.75" customHeight="1">
      <c r="B8" s="370" t="s">
        <v>216</v>
      </c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</row>
    <row r="9" spans="2:13" ht="16.5" customHeight="1">
      <c r="B9" s="373" t="s">
        <v>217</v>
      </c>
      <c r="C9" s="373"/>
      <c r="D9" s="373" t="s">
        <v>218</v>
      </c>
      <c r="E9" s="373"/>
      <c r="F9" s="373" t="s">
        <v>219</v>
      </c>
      <c r="G9" s="373"/>
      <c r="H9" s="68" t="s">
        <v>220</v>
      </c>
      <c r="I9" s="371" t="s">
        <v>221</v>
      </c>
      <c r="J9" s="371"/>
      <c r="K9" s="371"/>
      <c r="L9" s="376" t="s">
        <v>222</v>
      </c>
      <c r="M9" s="376" t="s">
        <v>223</v>
      </c>
    </row>
    <row r="10" spans="2:13" ht="15.75" customHeight="1">
      <c r="B10" s="373"/>
      <c r="C10" s="373"/>
      <c r="D10" s="373"/>
      <c r="E10" s="373"/>
      <c r="F10" s="373"/>
      <c r="G10" s="373"/>
      <c r="H10" s="373" t="s">
        <v>224</v>
      </c>
      <c r="I10" s="378"/>
      <c r="J10" s="378"/>
      <c r="K10" s="378"/>
      <c r="L10" s="373"/>
      <c r="M10" s="373"/>
    </row>
    <row r="11" spans="2:13" ht="15" customHeight="1">
      <c r="B11" s="373"/>
      <c r="C11" s="373"/>
      <c r="D11" s="373"/>
      <c r="E11" s="373"/>
      <c r="F11" s="373"/>
      <c r="G11" s="373"/>
      <c r="H11" s="373"/>
      <c r="I11" s="379"/>
      <c r="J11" s="379"/>
      <c r="K11" s="379"/>
      <c r="L11" s="373"/>
      <c r="M11" s="373"/>
    </row>
    <row r="12" spans="2:13" ht="16.5" customHeight="1">
      <c r="B12" s="373" t="s">
        <v>225</v>
      </c>
      <c r="C12" s="68" t="s">
        <v>226</v>
      </c>
      <c r="D12" s="372">
        <f>水尺计算!E12</f>
        <v>11.27</v>
      </c>
      <c r="E12" s="372"/>
      <c r="F12" s="377">
        <f>水尺计算!E14</f>
        <v>11.285</v>
      </c>
      <c r="G12" s="377"/>
      <c r="H12" s="81">
        <f>ABS(水尺计算!E23)</f>
        <v>2.5</v>
      </c>
      <c r="I12" s="93">
        <f>F18</f>
        <v>0.41000000000000014</v>
      </c>
      <c r="J12" s="374" t="s">
        <v>227</v>
      </c>
      <c r="K12" s="397">
        <f t="shared" ref="K12:K16" si="0">H12</f>
        <v>2.5</v>
      </c>
      <c r="L12" s="377">
        <f>水尺计算!E26</f>
        <v>-4.0000000000000001E-3</v>
      </c>
      <c r="M12" s="377">
        <f>水尺计算!E31</f>
        <v>11.281000000000001</v>
      </c>
    </row>
    <row r="13" spans="2:13" ht="15.75" customHeight="1">
      <c r="B13" s="373"/>
      <c r="C13" s="68" t="s">
        <v>228</v>
      </c>
      <c r="D13" s="372">
        <f>水尺计算!E13</f>
        <v>11.3</v>
      </c>
      <c r="E13" s="372"/>
      <c r="F13" s="377"/>
      <c r="G13" s="377"/>
      <c r="H13" s="82" t="str">
        <f>IF(水尺计算!E23&lt;0,"(A) ","(F) ")</f>
        <v xml:space="preserve">(A) </v>
      </c>
      <c r="I13" s="87">
        <f>I18-H12-H14</f>
        <v>268.85000000000002</v>
      </c>
      <c r="J13" s="375"/>
      <c r="K13" s="398"/>
      <c r="L13" s="377"/>
      <c r="M13" s="377"/>
    </row>
    <row r="14" spans="2:13" ht="16.5" customHeight="1">
      <c r="B14" s="373" t="s">
        <v>229</v>
      </c>
      <c r="C14" s="68" t="s">
        <v>226</v>
      </c>
      <c r="D14" s="372">
        <f>水尺计算!E18</f>
        <v>11.68</v>
      </c>
      <c r="E14" s="372"/>
      <c r="F14" s="377">
        <f>水尺计算!E20</f>
        <v>11.695</v>
      </c>
      <c r="G14" s="377"/>
      <c r="H14" s="81">
        <f>ABS(水尺计算!E25)</f>
        <v>12.45</v>
      </c>
      <c r="I14" s="93">
        <f>F18</f>
        <v>0.41000000000000014</v>
      </c>
      <c r="J14" s="374" t="s">
        <v>227</v>
      </c>
      <c r="K14" s="397">
        <f t="shared" si="0"/>
        <v>12.45</v>
      </c>
      <c r="L14" s="377">
        <f>水尺计算!E28</f>
        <v>1.9E-2</v>
      </c>
      <c r="M14" s="377">
        <f>水尺计算!E33</f>
        <v>11.714</v>
      </c>
    </row>
    <row r="15" spans="2:13" ht="15.75" customHeight="1">
      <c r="B15" s="373"/>
      <c r="C15" s="68" t="s">
        <v>228</v>
      </c>
      <c r="D15" s="372">
        <f>水尺计算!E19</f>
        <v>11.71</v>
      </c>
      <c r="E15" s="372"/>
      <c r="F15" s="377"/>
      <c r="G15" s="377"/>
      <c r="H15" s="82" t="str">
        <f>IF(水尺计算!E25&lt;0,"(A) ","(F) ")</f>
        <v xml:space="preserve">(F) </v>
      </c>
      <c r="I15" s="87">
        <f>I18-H12-H14</f>
        <v>268.85000000000002</v>
      </c>
      <c r="J15" s="375"/>
      <c r="K15" s="398"/>
      <c r="L15" s="377"/>
      <c r="M15" s="377"/>
    </row>
    <row r="16" spans="2:13" ht="16.5" customHeight="1">
      <c r="B16" s="373" t="s">
        <v>230</v>
      </c>
      <c r="C16" s="68" t="s">
        <v>226</v>
      </c>
      <c r="D16" s="372">
        <f>水尺计算!E15</f>
        <v>11.35</v>
      </c>
      <c r="E16" s="372"/>
      <c r="F16" s="377">
        <f>水尺计算!E17</f>
        <v>11.399999999999999</v>
      </c>
      <c r="G16" s="377"/>
      <c r="H16" s="81">
        <f>ABS(水尺计算!E24)</f>
        <v>0</v>
      </c>
      <c r="I16" s="93">
        <f>F18</f>
        <v>0.41000000000000014</v>
      </c>
      <c r="J16" s="374" t="s">
        <v>227</v>
      </c>
      <c r="K16" s="397">
        <f t="shared" si="0"/>
        <v>0</v>
      </c>
      <c r="L16" s="377">
        <f>水尺计算!E27</f>
        <v>0</v>
      </c>
      <c r="M16" s="377">
        <f>水尺计算!E32</f>
        <v>11.399999999999999</v>
      </c>
    </row>
    <row r="17" spans="2:16" ht="15.75" customHeight="1">
      <c r="B17" s="373"/>
      <c r="C17" s="68" t="s">
        <v>228</v>
      </c>
      <c r="D17" s="372">
        <f>水尺计算!E16</f>
        <v>11.45</v>
      </c>
      <c r="E17" s="372"/>
      <c r="F17" s="377"/>
      <c r="G17" s="377"/>
      <c r="H17" s="82" t="str">
        <f>IF(水尺计算!E24&lt;0,"(A) ",IF(水尺计算!E24&gt;0,"(F) ",""))</f>
        <v/>
      </c>
      <c r="I17" s="87">
        <f>I18-H12-H14</f>
        <v>268.85000000000002</v>
      </c>
      <c r="J17" s="375"/>
      <c r="K17" s="398"/>
      <c r="L17" s="377"/>
      <c r="M17" s="377"/>
    </row>
    <row r="18" spans="2:16" ht="16.5" customHeight="1">
      <c r="B18" s="373" t="s">
        <v>231</v>
      </c>
      <c r="C18" s="373"/>
      <c r="D18" s="373"/>
      <c r="E18" s="373"/>
      <c r="F18" s="377">
        <f>水尺计算!E21</f>
        <v>0.41000000000000014</v>
      </c>
      <c r="G18" s="377"/>
      <c r="H18" s="68" t="s">
        <v>232</v>
      </c>
      <c r="I18" s="380">
        <f>水尺计算!D9</f>
        <v>283.8</v>
      </c>
      <c r="J18" s="380"/>
      <c r="K18" s="373" t="s">
        <v>233</v>
      </c>
      <c r="L18" s="373"/>
      <c r="M18" s="80">
        <f>水尺计算!E34</f>
        <v>0.433</v>
      </c>
    </row>
    <row r="19" spans="2:16" ht="20.25" customHeight="1">
      <c r="B19" s="376" t="s">
        <v>234</v>
      </c>
      <c r="C19" s="373"/>
      <c r="D19" s="373"/>
      <c r="E19" s="373"/>
      <c r="F19" s="376" t="s">
        <v>235</v>
      </c>
      <c r="G19" s="373"/>
      <c r="H19" s="373"/>
      <c r="I19" s="376" t="s">
        <v>236</v>
      </c>
      <c r="J19" s="373"/>
      <c r="K19" s="373"/>
      <c r="L19" s="373" t="s">
        <v>237</v>
      </c>
      <c r="M19" s="373"/>
    </row>
    <row r="20" spans="2:16" ht="15.75" customHeight="1">
      <c r="B20" s="381">
        <f>水尺计算!E32</f>
        <v>11.399999999999999</v>
      </c>
      <c r="C20" s="381"/>
      <c r="D20" s="381"/>
      <c r="E20" s="381"/>
      <c r="F20" s="381">
        <f>水尺计算!E35</f>
        <v>11.4975</v>
      </c>
      <c r="G20" s="381"/>
      <c r="H20" s="381"/>
      <c r="I20" s="381">
        <f>水尺计算!E36</f>
        <v>11.44875</v>
      </c>
      <c r="J20" s="381"/>
      <c r="K20" s="381"/>
      <c r="L20" s="377">
        <f>水尺计算!E37</f>
        <v>11.423999999999999</v>
      </c>
      <c r="M20" s="377"/>
    </row>
    <row r="21" spans="2:16" ht="16.5" customHeight="1">
      <c r="B21" s="370" t="s">
        <v>238</v>
      </c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</row>
    <row r="22" spans="2:16" ht="15.75" customHeight="1">
      <c r="B22" s="373" t="s">
        <v>239</v>
      </c>
      <c r="C22" s="373"/>
      <c r="D22" s="373"/>
      <c r="E22" s="377">
        <f>水尺计算!E40</f>
        <v>11.42</v>
      </c>
      <c r="F22" s="377"/>
      <c r="G22" s="377"/>
      <c r="H22" s="377"/>
      <c r="I22" s="377"/>
      <c r="J22" s="373" t="s">
        <v>240</v>
      </c>
      <c r="K22" s="373"/>
      <c r="L22" s="382">
        <f>水尺计算!E41</f>
        <v>124090</v>
      </c>
      <c r="M22" s="382"/>
    </row>
    <row r="23" spans="2:16" ht="16.5" customHeight="1">
      <c r="B23" s="373" t="s">
        <v>241</v>
      </c>
      <c r="C23" s="373"/>
      <c r="D23" s="373"/>
      <c r="E23" s="383">
        <f>水尺计算!E53</f>
        <v>0.39999999999995595</v>
      </c>
      <c r="F23" s="383"/>
      <c r="G23" s="383"/>
      <c r="H23" s="83" t="s">
        <v>242</v>
      </c>
      <c r="I23" s="88">
        <f>水尺计算!E48</f>
        <v>116.7</v>
      </c>
      <c r="J23" s="373" t="s">
        <v>243</v>
      </c>
      <c r="K23" s="373"/>
      <c r="L23" s="382">
        <f>水尺计算!E54</f>
        <v>46.7</v>
      </c>
      <c r="M23" s="382"/>
    </row>
    <row r="24" spans="2:16" ht="15.75" customHeight="1">
      <c r="B24" s="373" t="s">
        <v>244</v>
      </c>
      <c r="C24" s="373"/>
      <c r="D24" s="373"/>
      <c r="E24" s="377">
        <f>L20</f>
        <v>11.423999999999999</v>
      </c>
      <c r="F24" s="377"/>
      <c r="G24" s="377"/>
      <c r="H24" s="377"/>
      <c r="I24" s="377"/>
      <c r="J24" s="373" t="s">
        <v>245</v>
      </c>
      <c r="K24" s="373"/>
      <c r="L24" s="382">
        <f>水尺计算!E55</f>
        <v>124136.7</v>
      </c>
      <c r="M24" s="382"/>
    </row>
    <row r="25" spans="2:16" ht="16.5" customHeight="1">
      <c r="B25" s="370" t="s">
        <v>246</v>
      </c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</row>
    <row r="26" spans="2:16" ht="15.75" customHeight="1">
      <c r="B26" s="390" t="s">
        <v>247</v>
      </c>
      <c r="C26" s="373" t="s">
        <v>248</v>
      </c>
      <c r="D26" s="373"/>
      <c r="E26" s="376" t="s">
        <v>249</v>
      </c>
      <c r="F26" s="373"/>
      <c r="G26" s="373" t="s">
        <v>250</v>
      </c>
      <c r="H26" s="373"/>
      <c r="I26" s="373"/>
      <c r="J26" s="373"/>
      <c r="K26" s="373" t="s">
        <v>251</v>
      </c>
      <c r="L26" s="373"/>
      <c r="M26" s="373"/>
    </row>
    <row r="27" spans="2:16" ht="16.5" customHeight="1">
      <c r="B27" s="390"/>
      <c r="C27" s="396"/>
      <c r="D27" s="396"/>
      <c r="E27" s="373"/>
      <c r="F27" s="373"/>
      <c r="G27" s="373" t="s">
        <v>252</v>
      </c>
      <c r="H27" s="373"/>
      <c r="I27" s="373" t="s">
        <v>253</v>
      </c>
      <c r="J27" s="373"/>
      <c r="K27" s="68" t="s">
        <v>252</v>
      </c>
      <c r="L27" s="373" t="s">
        <v>253</v>
      </c>
      <c r="M27" s="373"/>
    </row>
    <row r="28" spans="2:16" ht="16.5" customHeight="1">
      <c r="B28" s="390"/>
      <c r="C28" s="69" t="str">
        <f>IF(水尺计算!E43&gt;0,"(A)","(F)")</f>
        <v>(F)</v>
      </c>
      <c r="D28" s="70">
        <f>ABS(水尺计算!E49)</f>
        <v>4.09</v>
      </c>
      <c r="E28" s="373"/>
      <c r="F28" s="373"/>
      <c r="G28" s="377">
        <f>E22+0.5</f>
        <v>11.92</v>
      </c>
      <c r="H28" s="377"/>
      <c r="I28" s="388">
        <f>水尺计算!E50</f>
        <v>2281.3000000000002</v>
      </c>
      <c r="J28" s="388"/>
      <c r="K28" s="377">
        <f>E22-0.5</f>
        <v>10.92</v>
      </c>
      <c r="L28" s="388">
        <f>水尺计算!E51</f>
        <v>2201.1</v>
      </c>
      <c r="M28" s="388"/>
    </row>
    <row r="29" spans="2:16" ht="15" customHeight="1">
      <c r="B29" s="390"/>
      <c r="C29" s="395"/>
      <c r="D29" s="395"/>
      <c r="E29" s="373"/>
      <c r="F29" s="373"/>
      <c r="G29" s="377"/>
      <c r="H29" s="377"/>
      <c r="I29" s="388"/>
      <c r="J29" s="388"/>
      <c r="K29" s="377"/>
      <c r="L29" s="388"/>
      <c r="M29" s="388"/>
      <c r="O29" s="66" t="s">
        <v>68</v>
      </c>
      <c r="P29" s="66">
        <f>IF(ISERROR(FIND(".",水尺计算!D9)),水尺计算!D9&amp;".0",水尺计算!D9)</f>
        <v>283.8</v>
      </c>
    </row>
    <row r="30" spans="2:16" ht="32.25" customHeight="1">
      <c r="B30" s="391" t="s">
        <v>254</v>
      </c>
      <c r="C30" s="71" t="s">
        <v>255</v>
      </c>
      <c r="D30" s="72"/>
      <c r="E30" s="72"/>
      <c r="F30" s="72"/>
      <c r="G30" s="72"/>
      <c r="H30" s="72"/>
      <c r="I30" s="72" t="s">
        <v>256</v>
      </c>
      <c r="J30" s="72"/>
      <c r="K30" s="72"/>
      <c r="L30" s="72"/>
      <c r="M30" s="90"/>
      <c r="O30" s="66" t="s">
        <v>257</v>
      </c>
      <c r="P30" s="66" t="str">
        <f>IF(ISERROR(FIND(".",水尺计算!E34)),水尺计算!E34&amp;".000",水尺计算!E34&amp;REPT("0",FIND(".",水尺计算!E34)+3-LEN(水尺计算!E34)))</f>
        <v>0.433</v>
      </c>
    </row>
    <row r="31" spans="2:16" ht="23.25" customHeight="1">
      <c r="B31" s="392"/>
      <c r="C31" s="73" t="s">
        <v>258</v>
      </c>
      <c r="D31" s="92" t="str">
        <f>P30&amp;" × "&amp;IF(水尺计算!E49&gt;=0,P32,"("&amp;P32&amp;")")&amp;" × "&amp;P31&amp;" × 100 / "&amp;P29&amp;" = "&amp;P34</f>
        <v>0.433 × (-4.09) × 116.70 × 100 / 283.8 = -72.8</v>
      </c>
      <c r="E31" s="92"/>
      <c r="F31" s="92"/>
      <c r="G31" s="92"/>
      <c r="H31" s="92"/>
      <c r="I31" s="92"/>
      <c r="J31" s="92"/>
      <c r="K31" s="94"/>
      <c r="L31" s="92" t="s">
        <v>259</v>
      </c>
      <c r="M31" s="96"/>
      <c r="O31" s="66" t="s">
        <v>103</v>
      </c>
      <c r="P31" s="66" t="str">
        <f>IF(ISERROR(FIND(".",水尺计算!E48)),水尺计算!E48&amp;".00",水尺计算!E48&amp;REPT("0",FIND(".",水尺计算!E48)+2-LEN(水尺计算!E48)))</f>
        <v>116.70</v>
      </c>
    </row>
    <row r="32" spans="2:16" ht="47.25" customHeight="1">
      <c r="B32" s="390" t="s">
        <v>260</v>
      </c>
      <c r="C32" s="71" t="s">
        <v>261</v>
      </c>
      <c r="D32" s="72"/>
      <c r="E32" s="72"/>
      <c r="F32" s="72"/>
      <c r="G32" s="72"/>
      <c r="H32" s="72"/>
      <c r="I32" s="72"/>
      <c r="J32" s="72"/>
      <c r="K32" s="72"/>
      <c r="L32" s="72"/>
      <c r="M32" s="90" t="s">
        <v>262</v>
      </c>
      <c r="O32" s="66" t="s">
        <v>263</v>
      </c>
      <c r="P32" s="66" t="str">
        <f>IF(ISERROR(FIND(".",水尺计算!E49)),水尺计算!E49&amp;".00",水尺计算!E49&amp;REPT("0",FIND(".",水尺计算!E49)+2-LEN(水尺计算!E49)))</f>
        <v>-4.09</v>
      </c>
    </row>
    <row r="33" spans="2:16" ht="45" customHeight="1">
      <c r="B33" s="393"/>
      <c r="C33" s="73"/>
      <c r="D33" s="75">
        <f>水尺计算!E57</f>
        <v>80.2</v>
      </c>
      <c r="E33" s="84"/>
      <c r="F33" s="85" t="s">
        <v>264</v>
      </c>
      <c r="G33" s="72" t="str">
        <f>"50 × "&amp;IF(水尺计算!E34&gt;=0,P30&amp;"²","("&amp;P30&amp;")²")&amp;" × "&amp;P33&amp;" / "&amp;P29&amp;" = "&amp;P35</f>
        <v>50 × 0.433² × 80.20 / 283.8 = 2.6</v>
      </c>
      <c r="H33" s="72"/>
      <c r="I33" s="72"/>
      <c r="J33" s="72"/>
      <c r="K33" s="95"/>
      <c r="L33" s="72" t="s">
        <v>259</v>
      </c>
      <c r="M33" s="90"/>
      <c r="O33" s="66" t="s">
        <v>265</v>
      </c>
      <c r="P33" s="66" t="str">
        <f>IF(ISERROR(FIND(".",水尺计算!E57)),水尺计算!E57&amp;".00",水尺计算!E57&amp;REPT("0",FIND(".",水尺计算!E57)+2-LEN(水尺计算!E57)))</f>
        <v>80.20</v>
      </c>
    </row>
    <row r="34" spans="2:16" ht="16.5" customHeight="1">
      <c r="B34" s="384" t="s">
        <v>266</v>
      </c>
      <c r="C34" s="385"/>
      <c r="D34" s="385"/>
      <c r="E34" s="385"/>
      <c r="F34" s="386">
        <f>水尺计算!E59</f>
        <v>-70.2</v>
      </c>
      <c r="G34" s="386"/>
      <c r="H34" s="387"/>
      <c r="I34" s="384" t="s">
        <v>267</v>
      </c>
      <c r="J34" s="385"/>
      <c r="K34" s="385"/>
      <c r="L34" s="386">
        <f>水尺计算!E60</f>
        <v>124066.5</v>
      </c>
      <c r="M34" s="387"/>
      <c r="O34" s="66" t="s">
        <v>268</v>
      </c>
      <c r="P34" s="66">
        <f>IF(ISERROR(FIND(".",水尺计算!E56)),水尺计算!E56&amp;".0",水尺计算!E56)</f>
        <v>-72.8</v>
      </c>
    </row>
    <row r="35" spans="2:16" ht="15.75" customHeight="1">
      <c r="B35" s="370" t="s">
        <v>269</v>
      </c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O35" s="66" t="s">
        <v>270</v>
      </c>
      <c r="P35" s="66">
        <f>IF(ISERROR(FIND(".",水尺计算!E58)),水尺计算!E58&amp;".0",水尺计算!E58)</f>
        <v>2.6</v>
      </c>
    </row>
    <row r="36" spans="2:16" ht="16.5" customHeight="1">
      <c r="B36" s="373" t="s">
        <v>271</v>
      </c>
      <c r="C36" s="373"/>
      <c r="D36" s="373"/>
      <c r="E36" s="373"/>
      <c r="F36" s="373" t="s">
        <v>272</v>
      </c>
      <c r="G36" s="373"/>
      <c r="H36" s="373"/>
      <c r="I36" s="373" t="s">
        <v>273</v>
      </c>
      <c r="J36" s="373"/>
      <c r="K36" s="373" t="s">
        <v>274</v>
      </c>
      <c r="L36" s="373"/>
      <c r="M36" s="373"/>
    </row>
    <row r="37" spans="2:16" ht="15.75" customHeight="1">
      <c r="B37" s="394">
        <f>水尺计算!D4</f>
        <v>1.0249999999999999</v>
      </c>
      <c r="C37" s="394"/>
      <c r="D37" s="394"/>
      <c r="E37" s="394"/>
      <c r="F37" s="394">
        <f>水尺计算!E39</f>
        <v>1.0209999999999999</v>
      </c>
      <c r="G37" s="394"/>
      <c r="H37" s="394"/>
      <c r="I37" s="382">
        <f>-水尺计算!E61</f>
        <v>484.19999999999709</v>
      </c>
      <c r="J37" s="382"/>
      <c r="K37" s="382">
        <f>水尺计算!E62</f>
        <v>123582.3</v>
      </c>
      <c r="L37" s="382"/>
      <c r="M37" s="382"/>
    </row>
    <row r="38" spans="2:16" ht="15.75" customHeight="1">
      <c r="D38" s="76" t="s">
        <v>275</v>
      </c>
      <c r="E38" s="79"/>
      <c r="F38" s="79"/>
      <c r="G38" s="79"/>
      <c r="H38" s="79"/>
      <c r="I38" s="389" t="s">
        <v>276</v>
      </c>
      <c r="J38" s="389"/>
      <c r="K38" s="79"/>
      <c r="L38" s="79"/>
      <c r="M38" s="79"/>
    </row>
    <row r="39" spans="2:16" ht="17.25" customHeight="1"/>
    <row r="40" spans="2:16" ht="14">
      <c r="B40" s="18" t="s">
        <v>277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</sheetData>
  <sheetProtection selectLockedCells="1"/>
  <mergeCells count="96">
    <mergeCell ref="F16:G17"/>
    <mergeCell ref="F14:G15"/>
    <mergeCell ref="F12:G13"/>
    <mergeCell ref="B9:C11"/>
    <mergeCell ref="D9:E11"/>
    <mergeCell ref="F9:G11"/>
    <mergeCell ref="B14:B15"/>
    <mergeCell ref="B16:B17"/>
    <mergeCell ref="D13:E13"/>
    <mergeCell ref="D14:E14"/>
    <mergeCell ref="D15:E15"/>
    <mergeCell ref="D16:E16"/>
    <mergeCell ref="D17:E17"/>
    <mergeCell ref="L14:L15"/>
    <mergeCell ref="L16:L17"/>
    <mergeCell ref="M9:M11"/>
    <mergeCell ref="M12:M13"/>
    <mergeCell ref="M14:M15"/>
    <mergeCell ref="M16:M17"/>
    <mergeCell ref="J14:J15"/>
    <mergeCell ref="J16:J17"/>
    <mergeCell ref="K12:K13"/>
    <mergeCell ref="K14:K15"/>
    <mergeCell ref="K16:K17"/>
    <mergeCell ref="B26:B29"/>
    <mergeCell ref="B30:B31"/>
    <mergeCell ref="B32:B33"/>
    <mergeCell ref="B37:E37"/>
    <mergeCell ref="F37:H37"/>
    <mergeCell ref="C29:D29"/>
    <mergeCell ref="B34:E34"/>
    <mergeCell ref="F34:H34"/>
    <mergeCell ref="C26:D26"/>
    <mergeCell ref="C27:D27"/>
    <mergeCell ref="I37:J37"/>
    <mergeCell ref="K37:M37"/>
    <mergeCell ref="I38:J38"/>
    <mergeCell ref="B35:M35"/>
    <mergeCell ref="B36:E36"/>
    <mergeCell ref="F36:H36"/>
    <mergeCell ref="I36:J36"/>
    <mergeCell ref="K36:M36"/>
    <mergeCell ref="I34:K34"/>
    <mergeCell ref="L34:M34"/>
    <mergeCell ref="K28:K29"/>
    <mergeCell ref="L28:M29"/>
    <mergeCell ref="E26:F29"/>
    <mergeCell ref="G28:H29"/>
    <mergeCell ref="I28:J29"/>
    <mergeCell ref="G26:J26"/>
    <mergeCell ref="K26:M26"/>
    <mergeCell ref="G27:H27"/>
    <mergeCell ref="I27:J27"/>
    <mergeCell ref="L27:M27"/>
    <mergeCell ref="B24:D24"/>
    <mergeCell ref="E24:I24"/>
    <mergeCell ref="J24:K24"/>
    <mergeCell ref="L24:M24"/>
    <mergeCell ref="B25:M25"/>
    <mergeCell ref="B22:D22"/>
    <mergeCell ref="E22:I22"/>
    <mergeCell ref="J22:K22"/>
    <mergeCell ref="L22:M22"/>
    <mergeCell ref="B23:D23"/>
    <mergeCell ref="E23:G23"/>
    <mergeCell ref="J23:K23"/>
    <mergeCell ref="L23:M23"/>
    <mergeCell ref="B20:E20"/>
    <mergeCell ref="F20:H20"/>
    <mergeCell ref="I20:K20"/>
    <mergeCell ref="L20:M20"/>
    <mergeCell ref="B21:M21"/>
    <mergeCell ref="B18:E18"/>
    <mergeCell ref="F18:G18"/>
    <mergeCell ref="I18:J18"/>
    <mergeCell ref="K18:L18"/>
    <mergeCell ref="B19:E19"/>
    <mergeCell ref="F19:H19"/>
    <mergeCell ref="I19:K19"/>
    <mergeCell ref="L19:M19"/>
    <mergeCell ref="D7:G7"/>
    <mergeCell ref="L7:M7"/>
    <mergeCell ref="B8:M8"/>
    <mergeCell ref="I9:K9"/>
    <mergeCell ref="D12:E12"/>
    <mergeCell ref="B12:B13"/>
    <mergeCell ref="H10:H11"/>
    <mergeCell ref="J12:J13"/>
    <mergeCell ref="L9:L11"/>
    <mergeCell ref="L12:L13"/>
    <mergeCell ref="I10:K11"/>
    <mergeCell ref="L1:M1"/>
    <mergeCell ref="B3:D3"/>
    <mergeCell ref="F4:G4"/>
    <mergeCell ref="F5:G5"/>
    <mergeCell ref="F6:G6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7379" r:id="rId3">
          <objectPr defaultSize="0" altText="" r:id="rId4">
            <anchor moveWithCells="1">
              <from>
                <xdr:col>2</xdr:col>
                <xdr:colOff>50800</xdr:colOff>
                <xdr:row>32</xdr:row>
                <xdr:rowOff>76200</xdr:rowOff>
              </from>
              <to>
                <xdr:col>2</xdr:col>
                <xdr:colOff>241300</xdr:colOff>
                <xdr:row>32</xdr:row>
                <xdr:rowOff>266700</xdr:rowOff>
              </to>
            </anchor>
          </objectPr>
        </oleObject>
      </mc:Choice>
      <mc:Fallback>
        <oleObject progId="Equation.3" shapeId="7379" r:id="rId3"/>
      </mc:Fallback>
    </mc:AlternateContent>
    <mc:AlternateContent xmlns:mc="http://schemas.openxmlformats.org/markup-compatibility/2006">
      <mc:Choice Requires="x14">
        <oleObject progId="Equation.3" shapeId="7380" r:id="rId5">
          <objectPr defaultSize="0" altText="" r:id="rId6">
            <anchor moveWithCells="1">
              <from>
                <xdr:col>3</xdr:col>
                <xdr:colOff>0</xdr:colOff>
                <xdr:row>29</xdr:row>
                <xdr:rowOff>25400</xdr:rowOff>
              </from>
              <to>
                <xdr:col>6</xdr:col>
                <xdr:colOff>25400</xdr:colOff>
                <xdr:row>29</xdr:row>
                <xdr:rowOff>228600</xdr:rowOff>
              </to>
            </anchor>
          </objectPr>
        </oleObject>
      </mc:Choice>
      <mc:Fallback>
        <oleObject progId="Equation.3" shapeId="7380" r:id="rId5"/>
      </mc:Fallback>
    </mc:AlternateContent>
    <mc:AlternateContent xmlns:mc="http://schemas.openxmlformats.org/markup-compatibility/2006">
      <mc:Choice Requires="x14">
        <oleObject progId="Equation.3" shapeId="7384" r:id="rId7">
          <objectPr defaultSize="0" altText="" r:id="rId8">
            <anchor moveWithCells="1">
              <from>
                <xdr:col>8</xdr:col>
                <xdr:colOff>190500</xdr:colOff>
                <xdr:row>9</xdr:row>
                <xdr:rowOff>0</xdr:rowOff>
              </from>
              <to>
                <xdr:col>10</xdr:col>
                <xdr:colOff>215900</xdr:colOff>
                <xdr:row>10</xdr:row>
                <xdr:rowOff>88900</xdr:rowOff>
              </to>
            </anchor>
          </objectPr>
        </oleObject>
      </mc:Choice>
      <mc:Fallback>
        <oleObject progId="Equation.3" shapeId="7384" r:id="rId7"/>
      </mc:Fallback>
    </mc:AlternateContent>
    <mc:AlternateContent xmlns:mc="http://schemas.openxmlformats.org/markup-compatibility/2006">
      <mc:Choice Requires="x14">
        <oleObject progId="Equation.3" shapeId="7385" r:id="rId9">
          <objectPr defaultSize="0" altText="" r:id="rId10">
            <anchor moveWithCells="1">
              <from>
                <xdr:col>3</xdr:col>
                <xdr:colOff>190500</xdr:colOff>
                <xdr:row>31</xdr:row>
                <xdr:rowOff>50800</xdr:rowOff>
              </from>
              <to>
                <xdr:col>7</xdr:col>
                <xdr:colOff>12700</xdr:colOff>
                <xdr:row>31</xdr:row>
                <xdr:rowOff>317500</xdr:rowOff>
              </to>
            </anchor>
          </objectPr>
        </oleObject>
      </mc:Choice>
      <mc:Fallback>
        <oleObject progId="Equation.3" shapeId="7385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P40"/>
  <sheetViews>
    <sheetView workbookViewId="0">
      <selection activeCell="E3" sqref="E3"/>
    </sheetView>
  </sheetViews>
  <sheetFormatPr baseColWidth="10" defaultColWidth="9" defaultRowHeight="13"/>
  <cols>
    <col min="1" max="1" width="4.5" style="66" customWidth="1"/>
    <col min="2" max="2" width="4.6640625" style="66" customWidth="1"/>
    <col min="3" max="3" width="5.5" style="66" customWidth="1"/>
    <col min="4" max="4" width="7.33203125" style="66" customWidth="1"/>
    <col min="5" max="5" width="5.83203125" style="66" customWidth="1"/>
    <col min="6" max="6" width="6.1640625" style="66" customWidth="1"/>
    <col min="7" max="7" width="4.1640625" style="66" customWidth="1"/>
    <col min="8" max="8" width="8.83203125" style="66" customWidth="1"/>
    <col min="9" max="9" width="11.33203125" style="66" customWidth="1"/>
    <col min="10" max="10" width="5.83203125" style="66" customWidth="1"/>
    <col min="11" max="11" width="10.1640625" style="66" customWidth="1"/>
    <col min="12" max="12" width="10.5" style="66" customWidth="1"/>
    <col min="13" max="13" width="9.83203125" style="66" customWidth="1"/>
    <col min="14" max="14" width="6.6640625" style="66" customWidth="1"/>
    <col min="15" max="16" width="9" style="66" hidden="1" customWidth="1"/>
    <col min="17" max="16384" width="9" style="66"/>
  </cols>
  <sheetData>
    <row r="1" spans="2:13" ht="14">
      <c r="L1" s="363"/>
      <c r="M1" s="363"/>
    </row>
    <row r="2" spans="2:13" ht="14.25" customHeight="1"/>
    <row r="3" spans="2:13" ht="18" customHeight="1">
      <c r="B3" s="357" t="s">
        <v>209</v>
      </c>
      <c r="C3" s="357"/>
      <c r="D3" s="357"/>
      <c r="E3" s="18"/>
      <c r="F3" s="18"/>
      <c r="G3" s="18"/>
      <c r="H3" s="18"/>
      <c r="I3" s="18"/>
      <c r="J3" s="18"/>
      <c r="K3" s="18"/>
      <c r="L3" s="18"/>
      <c r="M3" s="18"/>
    </row>
    <row r="4" spans="2:13" ht="12.75" customHeight="1">
      <c r="F4" s="365" t="s">
        <v>278</v>
      </c>
      <c r="G4" s="365"/>
    </row>
    <row r="5" spans="2:13" ht="15.75" customHeight="1">
      <c r="F5" s="366" t="s">
        <v>211</v>
      </c>
      <c r="G5" s="366"/>
      <c r="H5" s="78" t="s">
        <v>212</v>
      </c>
    </row>
    <row r="6" spans="2:13" ht="16.5" customHeight="1">
      <c r="F6" s="367" t="s">
        <v>279</v>
      </c>
      <c r="G6" s="367"/>
    </row>
    <row r="7" spans="2:13" ht="20.25" customHeight="1">
      <c r="C7" s="67" t="s">
        <v>214</v>
      </c>
      <c r="D7" s="368" t="str">
        <f>水尺计算!D3</f>
        <v>MOUNT BOLIVAR</v>
      </c>
      <c r="E7" s="368"/>
      <c r="F7" s="368"/>
      <c r="G7" s="368"/>
      <c r="H7" s="79"/>
      <c r="I7" s="79"/>
      <c r="J7" s="79"/>
      <c r="K7" s="67" t="s">
        <v>215</v>
      </c>
      <c r="L7" s="369">
        <f>工作记录!C6</f>
        <v>44337</v>
      </c>
      <c r="M7" s="369"/>
    </row>
    <row r="8" spans="2:13" ht="15.75" customHeight="1">
      <c r="B8" s="370" t="s">
        <v>216</v>
      </c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</row>
    <row r="9" spans="2:13" ht="16.5" customHeight="1">
      <c r="B9" s="373" t="s">
        <v>217</v>
      </c>
      <c r="C9" s="373"/>
      <c r="D9" s="373" t="s">
        <v>218</v>
      </c>
      <c r="E9" s="373"/>
      <c r="F9" s="373" t="s">
        <v>219</v>
      </c>
      <c r="G9" s="373"/>
      <c r="H9" s="68" t="s">
        <v>220</v>
      </c>
      <c r="I9" s="371" t="s">
        <v>221</v>
      </c>
      <c r="J9" s="371"/>
      <c r="K9" s="371"/>
      <c r="L9" s="376" t="s">
        <v>222</v>
      </c>
      <c r="M9" s="376" t="s">
        <v>223</v>
      </c>
    </row>
    <row r="10" spans="2:13" ht="15.75" customHeight="1">
      <c r="B10" s="373"/>
      <c r="C10" s="373"/>
      <c r="D10" s="373"/>
      <c r="E10" s="373"/>
      <c r="F10" s="373"/>
      <c r="G10" s="373"/>
      <c r="H10" s="373" t="s">
        <v>224</v>
      </c>
      <c r="I10" s="378"/>
      <c r="J10" s="378"/>
      <c r="K10" s="378"/>
      <c r="L10" s="373"/>
      <c r="M10" s="373"/>
    </row>
    <row r="11" spans="2:13" ht="15" customHeight="1">
      <c r="B11" s="373"/>
      <c r="C11" s="373"/>
      <c r="D11" s="373"/>
      <c r="E11" s="373"/>
      <c r="F11" s="373"/>
      <c r="G11" s="373"/>
      <c r="H11" s="373"/>
      <c r="I11" s="379"/>
      <c r="J11" s="379"/>
      <c r="K11" s="379"/>
      <c r="L11" s="373"/>
      <c r="M11" s="373"/>
    </row>
    <row r="12" spans="2:13" ht="16.5" customHeight="1">
      <c r="B12" s="373" t="s">
        <v>225</v>
      </c>
      <c r="C12" s="68" t="s">
        <v>226</v>
      </c>
      <c r="D12" s="372">
        <f>水尺计算!D12</f>
        <v>18.28</v>
      </c>
      <c r="E12" s="372"/>
      <c r="F12" s="377">
        <f>水尺计算!D14</f>
        <v>18.274999999999999</v>
      </c>
      <c r="G12" s="377"/>
      <c r="H12" s="81">
        <f>ABS(水尺计算!D23)</f>
        <v>2.5</v>
      </c>
      <c r="I12" s="86">
        <f>F18</f>
        <v>4.5000000000001705E-2</v>
      </c>
      <c r="J12" s="374" t="s">
        <v>227</v>
      </c>
      <c r="K12" s="397">
        <f t="shared" ref="K12:K16" si="0">H12</f>
        <v>2.5</v>
      </c>
      <c r="L12" s="377">
        <f>水尺计算!D26</f>
        <v>0</v>
      </c>
      <c r="M12" s="377">
        <f>水尺计算!D31</f>
        <v>18.274999999999999</v>
      </c>
    </row>
    <row r="13" spans="2:13" ht="15.75" customHeight="1">
      <c r="B13" s="373"/>
      <c r="C13" s="68" t="s">
        <v>228</v>
      </c>
      <c r="D13" s="372">
        <f>水尺计算!D13</f>
        <v>18.27</v>
      </c>
      <c r="E13" s="372"/>
      <c r="F13" s="377"/>
      <c r="G13" s="377"/>
      <c r="H13" s="82" t="str">
        <f>IF(水尺计算!D23&lt;0,"(A) ","(F) ")</f>
        <v xml:space="preserve">(A) </v>
      </c>
      <c r="I13" s="87">
        <f>I18-H12-H14</f>
        <v>268.85000000000002</v>
      </c>
      <c r="J13" s="375"/>
      <c r="K13" s="398"/>
      <c r="L13" s="377"/>
      <c r="M13" s="377"/>
    </row>
    <row r="14" spans="2:13" ht="16.5" customHeight="1">
      <c r="B14" s="373" t="s">
        <v>229</v>
      </c>
      <c r="C14" s="68" t="s">
        <v>226</v>
      </c>
      <c r="D14" s="372">
        <f>水尺计算!D18</f>
        <v>18.329999999999998</v>
      </c>
      <c r="E14" s="372"/>
      <c r="F14" s="377">
        <f>水尺计算!D20</f>
        <v>18.32</v>
      </c>
      <c r="G14" s="377"/>
      <c r="H14" s="81">
        <f>ABS(水尺计算!D25)</f>
        <v>12.45</v>
      </c>
      <c r="I14" s="86">
        <f>F18</f>
        <v>4.5000000000001705E-2</v>
      </c>
      <c r="J14" s="374" t="s">
        <v>227</v>
      </c>
      <c r="K14" s="397">
        <f t="shared" si="0"/>
        <v>12.45</v>
      </c>
      <c r="L14" s="377">
        <f>水尺计算!D28</f>
        <v>2E-3</v>
      </c>
      <c r="M14" s="377">
        <f>水尺计算!D33</f>
        <v>18.321999999999999</v>
      </c>
    </row>
    <row r="15" spans="2:13" ht="15.75" customHeight="1">
      <c r="B15" s="373"/>
      <c r="C15" s="68" t="s">
        <v>228</v>
      </c>
      <c r="D15" s="372">
        <f>水尺计算!D19</f>
        <v>18.309999999999999</v>
      </c>
      <c r="E15" s="372"/>
      <c r="F15" s="377"/>
      <c r="G15" s="377"/>
      <c r="H15" s="82" t="str">
        <f>IF(水尺计算!D25&lt;0,"(A) ","(F) ")</f>
        <v xml:space="preserve">(F) </v>
      </c>
      <c r="I15" s="87">
        <f>I18-H12-H14</f>
        <v>268.85000000000002</v>
      </c>
      <c r="J15" s="375"/>
      <c r="K15" s="398"/>
      <c r="L15" s="377"/>
      <c r="M15" s="377"/>
    </row>
    <row r="16" spans="2:13" ht="16.5" customHeight="1">
      <c r="B16" s="373" t="s">
        <v>230</v>
      </c>
      <c r="C16" s="68" t="s">
        <v>226</v>
      </c>
      <c r="D16" s="372">
        <f>水尺计算!D15</f>
        <v>18.3</v>
      </c>
      <c r="E16" s="372"/>
      <c r="F16" s="377">
        <f>水尺计算!D17</f>
        <v>18.28</v>
      </c>
      <c r="G16" s="377"/>
      <c r="H16" s="81">
        <f>ABS(水尺计算!D24)</f>
        <v>0.4</v>
      </c>
      <c r="I16" s="86">
        <f>F18</f>
        <v>4.5000000000001705E-2</v>
      </c>
      <c r="J16" s="374" t="s">
        <v>227</v>
      </c>
      <c r="K16" s="397">
        <f t="shared" si="0"/>
        <v>0.4</v>
      </c>
      <c r="L16" s="377">
        <f>水尺计算!D27</f>
        <v>0</v>
      </c>
      <c r="M16" s="377">
        <f>水尺计算!D32</f>
        <v>18.28</v>
      </c>
    </row>
    <row r="17" spans="2:16" ht="15.75" customHeight="1">
      <c r="B17" s="373"/>
      <c r="C17" s="68" t="s">
        <v>228</v>
      </c>
      <c r="D17" s="372">
        <f>水尺计算!D16</f>
        <v>18.260000000000002</v>
      </c>
      <c r="E17" s="372"/>
      <c r="F17" s="377"/>
      <c r="G17" s="377"/>
      <c r="H17" s="82" t="str">
        <f>IF(水尺计算!D24&lt;0,"(A) ",IF(水尺计算!D24&gt;0,"(F) ",""))</f>
        <v xml:space="preserve">(A) </v>
      </c>
      <c r="I17" s="87">
        <f>I18-H12-H14</f>
        <v>268.85000000000002</v>
      </c>
      <c r="J17" s="375"/>
      <c r="K17" s="398"/>
      <c r="L17" s="377"/>
      <c r="M17" s="377"/>
    </row>
    <row r="18" spans="2:16" ht="16.5" customHeight="1">
      <c r="B18" s="373" t="s">
        <v>231</v>
      </c>
      <c r="C18" s="373"/>
      <c r="D18" s="373"/>
      <c r="E18" s="373"/>
      <c r="F18" s="377">
        <f>水尺计算!D21</f>
        <v>4.5000000000001705E-2</v>
      </c>
      <c r="G18" s="377"/>
      <c r="H18" s="68" t="s">
        <v>232</v>
      </c>
      <c r="I18" s="380">
        <f>水尺计算!D9</f>
        <v>283.8</v>
      </c>
      <c r="J18" s="380"/>
      <c r="K18" s="373" t="s">
        <v>233</v>
      </c>
      <c r="L18" s="373"/>
      <c r="M18" s="80">
        <f>水尺计算!D34</f>
        <v>4.7E-2</v>
      </c>
    </row>
    <row r="19" spans="2:16" ht="20.25" customHeight="1">
      <c r="B19" s="376" t="s">
        <v>234</v>
      </c>
      <c r="C19" s="373"/>
      <c r="D19" s="373"/>
      <c r="E19" s="373"/>
      <c r="F19" s="376" t="s">
        <v>235</v>
      </c>
      <c r="G19" s="373"/>
      <c r="H19" s="373"/>
      <c r="I19" s="376" t="s">
        <v>236</v>
      </c>
      <c r="J19" s="373"/>
      <c r="K19" s="373"/>
      <c r="L19" s="373" t="s">
        <v>237</v>
      </c>
      <c r="M19" s="373"/>
    </row>
    <row r="20" spans="2:16" ht="15.75" customHeight="1">
      <c r="B20" s="381">
        <f>水尺计算!D32</f>
        <v>18.28</v>
      </c>
      <c r="C20" s="381"/>
      <c r="D20" s="381"/>
      <c r="E20" s="381"/>
      <c r="F20" s="381">
        <f>水尺计算!D35</f>
        <v>18.298499999999997</v>
      </c>
      <c r="G20" s="381"/>
      <c r="H20" s="381"/>
      <c r="I20" s="381">
        <f>水尺计算!D36</f>
        <v>18.289249999999999</v>
      </c>
      <c r="J20" s="381"/>
      <c r="K20" s="381"/>
      <c r="L20" s="377">
        <f>水尺计算!D37</f>
        <v>18.285</v>
      </c>
      <c r="M20" s="377"/>
    </row>
    <row r="21" spans="2:16" ht="16.5" customHeight="1">
      <c r="B21" s="370" t="s">
        <v>238</v>
      </c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</row>
    <row r="22" spans="2:16" ht="15.75" customHeight="1">
      <c r="B22" s="373" t="s">
        <v>239</v>
      </c>
      <c r="C22" s="373"/>
      <c r="D22" s="373"/>
      <c r="E22" s="377">
        <f>水尺计算!D40</f>
        <v>18.28</v>
      </c>
      <c r="F22" s="377"/>
      <c r="G22" s="377"/>
      <c r="H22" s="377"/>
      <c r="I22" s="377"/>
      <c r="J22" s="373" t="s">
        <v>240</v>
      </c>
      <c r="K22" s="373"/>
      <c r="L22" s="382">
        <f>水尺计算!D41</f>
        <v>206984</v>
      </c>
      <c r="M22" s="382"/>
    </row>
    <row r="23" spans="2:16" ht="16.5" customHeight="1">
      <c r="B23" s="373" t="s">
        <v>241</v>
      </c>
      <c r="C23" s="373"/>
      <c r="D23" s="373"/>
      <c r="E23" s="383">
        <f>水尺计算!D53</f>
        <v>0.49999999999990052</v>
      </c>
      <c r="F23" s="383"/>
      <c r="G23" s="383"/>
      <c r="H23" s="83" t="s">
        <v>242</v>
      </c>
      <c r="I23" s="88">
        <f>水尺计算!D48</f>
        <v>123.3</v>
      </c>
      <c r="J23" s="373" t="s">
        <v>243</v>
      </c>
      <c r="K23" s="373"/>
      <c r="L23" s="382">
        <f>水尺计算!D54</f>
        <v>61.6</v>
      </c>
      <c r="M23" s="382"/>
    </row>
    <row r="24" spans="2:16" ht="15.75" customHeight="1">
      <c r="B24" s="373" t="s">
        <v>244</v>
      </c>
      <c r="C24" s="373"/>
      <c r="D24" s="373"/>
      <c r="E24" s="377">
        <f>L20</f>
        <v>18.285</v>
      </c>
      <c r="F24" s="377"/>
      <c r="G24" s="377"/>
      <c r="H24" s="377"/>
      <c r="I24" s="377"/>
      <c r="J24" s="373" t="s">
        <v>245</v>
      </c>
      <c r="K24" s="373"/>
      <c r="L24" s="382">
        <f>水尺计算!D55</f>
        <v>207045.6</v>
      </c>
      <c r="M24" s="382"/>
    </row>
    <row r="25" spans="2:16" ht="16.5" customHeight="1">
      <c r="B25" s="370" t="s">
        <v>246</v>
      </c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</row>
    <row r="26" spans="2:16" ht="15.75" customHeight="1">
      <c r="B26" s="390" t="s">
        <v>247</v>
      </c>
      <c r="C26" s="373" t="s">
        <v>248</v>
      </c>
      <c r="D26" s="373"/>
      <c r="E26" s="376" t="s">
        <v>249</v>
      </c>
      <c r="F26" s="373"/>
      <c r="G26" s="373" t="s">
        <v>250</v>
      </c>
      <c r="H26" s="373"/>
      <c r="I26" s="373"/>
      <c r="J26" s="373"/>
      <c r="K26" s="373" t="s">
        <v>251</v>
      </c>
      <c r="L26" s="373"/>
      <c r="M26" s="373"/>
    </row>
    <row r="27" spans="2:16" ht="16.5" customHeight="1">
      <c r="B27" s="390"/>
      <c r="C27" s="396"/>
      <c r="D27" s="396"/>
      <c r="E27" s="373"/>
      <c r="F27" s="373"/>
      <c r="G27" s="373" t="s">
        <v>252</v>
      </c>
      <c r="H27" s="373"/>
      <c r="I27" s="373" t="s">
        <v>253</v>
      </c>
      <c r="J27" s="373"/>
      <c r="K27" s="68" t="s">
        <v>252</v>
      </c>
      <c r="L27" s="373" t="s">
        <v>253</v>
      </c>
      <c r="M27" s="373"/>
    </row>
    <row r="28" spans="2:16" ht="16.5" customHeight="1">
      <c r="B28" s="390"/>
      <c r="C28" s="69" t="str">
        <f>IF(水尺计算!D43&gt;0,"A","F")</f>
        <v>A</v>
      </c>
      <c r="D28" s="70">
        <f>ABS(水尺计算!D49)</f>
        <v>3.75</v>
      </c>
      <c r="E28" s="373"/>
      <c r="F28" s="373"/>
      <c r="G28" s="377">
        <f>E22+0.5</f>
        <v>18.78</v>
      </c>
      <c r="H28" s="377"/>
      <c r="I28" s="388">
        <f>水尺计算!D50</f>
        <v>2638.7</v>
      </c>
      <c r="J28" s="388"/>
      <c r="K28" s="377">
        <f>E22-0.5</f>
        <v>17.78</v>
      </c>
      <c r="L28" s="388">
        <f>水尺计算!D51</f>
        <v>2621.7</v>
      </c>
      <c r="M28" s="388"/>
    </row>
    <row r="29" spans="2:16" ht="15" customHeight="1">
      <c r="B29" s="390"/>
      <c r="C29" s="395"/>
      <c r="D29" s="395"/>
      <c r="E29" s="373"/>
      <c r="F29" s="373"/>
      <c r="G29" s="377"/>
      <c r="H29" s="377"/>
      <c r="I29" s="388"/>
      <c r="J29" s="388"/>
      <c r="K29" s="377"/>
      <c r="L29" s="388"/>
      <c r="M29" s="388"/>
      <c r="O29" s="66" t="s">
        <v>68</v>
      </c>
      <c r="P29" s="66">
        <f>IF(ISERROR(FIND(".",水尺计算!D9)),水尺计算!D9&amp;".0",水尺计算!D9)</f>
        <v>283.8</v>
      </c>
    </row>
    <row r="30" spans="2:16" ht="32.25" customHeight="1">
      <c r="B30" s="391" t="s">
        <v>254</v>
      </c>
      <c r="C30" s="71" t="s">
        <v>255</v>
      </c>
      <c r="D30" s="72"/>
      <c r="E30" s="72"/>
      <c r="F30" s="72"/>
      <c r="G30" s="72"/>
      <c r="H30" s="72"/>
      <c r="I30" s="72" t="s">
        <v>256</v>
      </c>
      <c r="J30" s="72"/>
      <c r="K30" s="72"/>
      <c r="L30" s="72"/>
      <c r="M30" s="90"/>
      <c r="O30" s="66" t="s">
        <v>257</v>
      </c>
      <c r="P30" s="66" t="str">
        <f>IF(ISERROR(FIND(".",水尺计算!D34)),水尺计算!D34&amp;".000",水尺计算!D34&amp;REPT("0",FIND(".",水尺计算!D34)+3-LEN(水尺计算!D34)))</f>
        <v>0.047</v>
      </c>
    </row>
    <row r="31" spans="2:16" ht="23.25" customHeight="1">
      <c r="B31" s="392"/>
      <c r="C31" s="73" t="s">
        <v>258</v>
      </c>
      <c r="D31" s="74" t="str">
        <f>P30&amp;" × "&amp;IF(水尺计算!D49&gt;=0,P32,"("&amp;P32&amp;")")&amp;" × "&amp;P31&amp;" × 100 / "&amp;P29&amp;" = "&amp;P34</f>
        <v>0.047 × 3.75 × 123.30 × 100 / 283.8 = 7.7</v>
      </c>
      <c r="E31" s="74"/>
      <c r="F31" s="74"/>
      <c r="G31" s="74"/>
      <c r="H31" s="74"/>
      <c r="I31" s="74"/>
      <c r="J31" s="74"/>
      <c r="K31" s="89"/>
      <c r="L31" s="74" t="s">
        <v>259</v>
      </c>
      <c r="M31" s="91"/>
      <c r="O31" s="66" t="s">
        <v>103</v>
      </c>
      <c r="P31" s="66" t="str">
        <f>IF(ISERROR(FIND(".",水尺计算!D48)),水尺计算!D48&amp;".00",水尺计算!D48&amp;REPT("0",FIND(".",水尺计算!D48)+2-LEN(水尺计算!D48)))</f>
        <v>123.30</v>
      </c>
    </row>
    <row r="32" spans="2:16" ht="47.25" customHeight="1">
      <c r="B32" s="390" t="s">
        <v>260</v>
      </c>
      <c r="C32" s="71" t="s">
        <v>261</v>
      </c>
      <c r="D32" s="72"/>
      <c r="E32" s="72"/>
      <c r="F32" s="72"/>
      <c r="G32" s="72"/>
      <c r="H32" s="72"/>
      <c r="I32" s="72"/>
      <c r="J32" s="72"/>
      <c r="K32" s="72"/>
      <c r="L32" s="72"/>
      <c r="M32" s="90" t="s">
        <v>262</v>
      </c>
      <c r="O32" s="66" t="s">
        <v>263</v>
      </c>
      <c r="P32" s="66" t="str">
        <f>IF(ISERROR(FIND(".",水尺计算!D49)),水尺计算!D49&amp;".00",水尺计算!D49&amp;REPT("0",FIND(".",水尺计算!D49)+2-LEN(水尺计算!D49)))</f>
        <v>3.75</v>
      </c>
    </row>
    <row r="33" spans="2:16" ht="45" customHeight="1">
      <c r="B33" s="393"/>
      <c r="C33" s="73"/>
      <c r="D33" s="75">
        <f>水尺计算!D57</f>
        <v>17</v>
      </c>
      <c r="E33" s="84"/>
      <c r="F33" s="85" t="s">
        <v>264</v>
      </c>
      <c r="G33" s="72" t="str">
        <f>"50 × "&amp;IF(水尺计算!D34&gt;=0,P30&amp;"²","("&amp;P30&amp;")²")&amp;" × "&amp;P33&amp;" / "&amp;P29&amp;" = "&amp;P35</f>
        <v>50 × 0.047² × 17.00 / 283.8 = 0.0</v>
      </c>
      <c r="H33" s="72"/>
      <c r="I33" s="72"/>
      <c r="J33" s="72"/>
      <c r="K33" s="89"/>
      <c r="L33" s="72" t="s">
        <v>259</v>
      </c>
      <c r="M33" s="90"/>
      <c r="O33" s="66" t="s">
        <v>265</v>
      </c>
      <c r="P33" s="66" t="str">
        <f>IF(ISERROR(FIND(".",水尺计算!D57)),水尺计算!D57&amp;".00",水尺计算!D57&amp;REPT("0",FIND(".",水尺计算!D57)+2-LEN(水尺计算!D57)))</f>
        <v>17.00</v>
      </c>
    </row>
    <row r="34" spans="2:16" ht="16.5" customHeight="1">
      <c r="B34" s="384" t="s">
        <v>266</v>
      </c>
      <c r="C34" s="385"/>
      <c r="D34" s="385"/>
      <c r="E34" s="385"/>
      <c r="F34" s="386">
        <f>水尺计算!D59</f>
        <v>7.7</v>
      </c>
      <c r="G34" s="386"/>
      <c r="H34" s="387"/>
      <c r="I34" s="384" t="s">
        <v>267</v>
      </c>
      <c r="J34" s="385"/>
      <c r="K34" s="385"/>
      <c r="L34" s="386">
        <f>水尺计算!D60</f>
        <v>207053.30000000002</v>
      </c>
      <c r="M34" s="387"/>
      <c r="O34" s="66" t="s">
        <v>268</v>
      </c>
      <c r="P34" s="66">
        <f>IF(ISERROR(FIND(".",水尺计算!D56)),水尺计算!D56&amp;".0",水尺计算!D56)</f>
        <v>7.7</v>
      </c>
    </row>
    <row r="35" spans="2:16" ht="15.75" customHeight="1">
      <c r="B35" s="370" t="s">
        <v>269</v>
      </c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O35" s="66" t="s">
        <v>270</v>
      </c>
      <c r="P35" s="66" t="str">
        <f>IF(ISERROR(FIND(".",水尺计算!D58)),水尺计算!D58&amp;".0",水尺计算!D58)</f>
        <v>0.0</v>
      </c>
    </row>
    <row r="36" spans="2:16" ht="16.5" customHeight="1">
      <c r="B36" s="373" t="s">
        <v>271</v>
      </c>
      <c r="C36" s="373"/>
      <c r="D36" s="373"/>
      <c r="E36" s="373"/>
      <c r="F36" s="373" t="s">
        <v>272</v>
      </c>
      <c r="G36" s="373"/>
      <c r="H36" s="373"/>
      <c r="I36" s="373" t="s">
        <v>273</v>
      </c>
      <c r="J36" s="373"/>
      <c r="K36" s="373" t="s">
        <v>274</v>
      </c>
      <c r="L36" s="373"/>
      <c r="M36" s="373"/>
    </row>
    <row r="37" spans="2:16" ht="15.75" customHeight="1">
      <c r="B37" s="394">
        <f>水尺计算!D4</f>
        <v>1.0249999999999999</v>
      </c>
      <c r="C37" s="394"/>
      <c r="D37" s="394"/>
      <c r="E37" s="394"/>
      <c r="F37" s="394">
        <f>水尺计算!D39</f>
        <v>1.0209999999999999</v>
      </c>
      <c r="G37" s="394"/>
      <c r="H37" s="394"/>
      <c r="I37" s="382">
        <f>-水尺计算!D61</f>
        <v>808.0000000000291</v>
      </c>
      <c r="J37" s="382"/>
      <c r="K37" s="382">
        <f>水尺计算!D62</f>
        <v>206245.3</v>
      </c>
      <c r="L37" s="382"/>
      <c r="M37" s="382"/>
    </row>
    <row r="38" spans="2:16" ht="15.75" customHeight="1">
      <c r="D38" s="76" t="s">
        <v>275</v>
      </c>
      <c r="E38" s="79"/>
      <c r="F38" s="79"/>
      <c r="G38" s="79"/>
      <c r="H38" s="79"/>
      <c r="I38" s="389" t="s">
        <v>276</v>
      </c>
      <c r="J38" s="389"/>
      <c r="K38" s="79"/>
      <c r="L38" s="79"/>
      <c r="M38" s="79"/>
    </row>
    <row r="39" spans="2:16" ht="17.25" customHeight="1"/>
    <row r="40" spans="2:16" ht="14">
      <c r="B40" s="18" t="s">
        <v>208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</sheetData>
  <sheetProtection selectLockedCells="1"/>
  <mergeCells count="96">
    <mergeCell ref="B16:B17"/>
    <mergeCell ref="D13:E13"/>
    <mergeCell ref="D14:E14"/>
    <mergeCell ref="D15:E15"/>
    <mergeCell ref="I10:K11"/>
    <mergeCell ref="B9:C11"/>
    <mergeCell ref="D9:E11"/>
    <mergeCell ref="F9:G11"/>
    <mergeCell ref="J14:J15"/>
    <mergeCell ref="K12:K13"/>
    <mergeCell ref="K14:K15"/>
    <mergeCell ref="B14:B15"/>
    <mergeCell ref="D16:E16"/>
    <mergeCell ref="D17:E17"/>
    <mergeCell ref="M14:M15"/>
    <mergeCell ref="M16:M17"/>
    <mergeCell ref="F14:G15"/>
    <mergeCell ref="F16:G17"/>
    <mergeCell ref="J16:J17"/>
    <mergeCell ref="K16:K17"/>
    <mergeCell ref="L14:L15"/>
    <mergeCell ref="L16:L17"/>
    <mergeCell ref="B26:B29"/>
    <mergeCell ref="B30:B31"/>
    <mergeCell ref="B32:B33"/>
    <mergeCell ref="B37:E37"/>
    <mergeCell ref="F37:H37"/>
    <mergeCell ref="C29:D29"/>
    <mergeCell ref="B34:E34"/>
    <mergeCell ref="F34:H34"/>
    <mergeCell ref="C26:D26"/>
    <mergeCell ref="C27:D27"/>
    <mergeCell ref="I37:J37"/>
    <mergeCell ref="K37:M37"/>
    <mergeCell ref="I38:J38"/>
    <mergeCell ref="B35:M35"/>
    <mergeCell ref="B36:E36"/>
    <mergeCell ref="F36:H36"/>
    <mergeCell ref="I36:J36"/>
    <mergeCell ref="K36:M36"/>
    <mergeCell ref="I34:K34"/>
    <mergeCell ref="L34:M34"/>
    <mergeCell ref="K28:K29"/>
    <mergeCell ref="L28:M29"/>
    <mergeCell ref="E26:F29"/>
    <mergeCell ref="G28:H29"/>
    <mergeCell ref="I28:J29"/>
    <mergeCell ref="G26:J26"/>
    <mergeCell ref="K26:M26"/>
    <mergeCell ref="G27:H27"/>
    <mergeCell ref="I27:J27"/>
    <mergeCell ref="L27:M27"/>
    <mergeCell ref="B24:D24"/>
    <mergeCell ref="E24:I24"/>
    <mergeCell ref="J24:K24"/>
    <mergeCell ref="L24:M24"/>
    <mergeCell ref="B25:M25"/>
    <mergeCell ref="B22:D22"/>
    <mergeCell ref="E22:I22"/>
    <mergeCell ref="J22:K22"/>
    <mergeCell ref="L22:M22"/>
    <mergeCell ref="B23:D23"/>
    <mergeCell ref="E23:G23"/>
    <mergeCell ref="J23:K23"/>
    <mergeCell ref="L23:M23"/>
    <mergeCell ref="B20:E20"/>
    <mergeCell ref="F20:H20"/>
    <mergeCell ref="I20:K20"/>
    <mergeCell ref="L20:M20"/>
    <mergeCell ref="B21:M21"/>
    <mergeCell ref="B18:E18"/>
    <mergeCell ref="F18:G18"/>
    <mergeCell ref="I18:J18"/>
    <mergeCell ref="K18:L18"/>
    <mergeCell ref="B19:E19"/>
    <mergeCell ref="F19:H19"/>
    <mergeCell ref="I19:K19"/>
    <mergeCell ref="L19:M19"/>
    <mergeCell ref="D7:G7"/>
    <mergeCell ref="L7:M7"/>
    <mergeCell ref="B8:M8"/>
    <mergeCell ref="I9:K9"/>
    <mergeCell ref="D12:E12"/>
    <mergeCell ref="B12:B13"/>
    <mergeCell ref="H10:H11"/>
    <mergeCell ref="J12:J13"/>
    <mergeCell ref="L9:L11"/>
    <mergeCell ref="L12:L13"/>
    <mergeCell ref="F12:G13"/>
    <mergeCell ref="M9:M11"/>
    <mergeCell ref="M12:M13"/>
    <mergeCell ref="L1:M1"/>
    <mergeCell ref="B3:D3"/>
    <mergeCell ref="F4:G4"/>
    <mergeCell ref="F5:G5"/>
    <mergeCell ref="F6:G6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6364" r:id="rId3">
          <objectPr defaultSize="0" altText="" r:id="rId4">
            <anchor moveWithCells="1">
              <from>
                <xdr:col>3</xdr:col>
                <xdr:colOff>190500</xdr:colOff>
                <xdr:row>31</xdr:row>
                <xdr:rowOff>50800</xdr:rowOff>
              </from>
              <to>
                <xdr:col>7</xdr:col>
                <xdr:colOff>12700</xdr:colOff>
                <xdr:row>31</xdr:row>
                <xdr:rowOff>317500</xdr:rowOff>
              </to>
            </anchor>
          </objectPr>
        </oleObject>
      </mc:Choice>
      <mc:Fallback>
        <oleObject progId="Equation.3" shapeId="6364" r:id="rId3"/>
      </mc:Fallback>
    </mc:AlternateContent>
    <mc:AlternateContent xmlns:mc="http://schemas.openxmlformats.org/markup-compatibility/2006">
      <mc:Choice Requires="x14">
        <oleObject progId="Equation.3" shapeId="6366" r:id="rId5">
          <objectPr defaultSize="0" altText="" r:id="rId6">
            <anchor moveWithCells="1">
              <from>
                <xdr:col>3</xdr:col>
                <xdr:colOff>0</xdr:colOff>
                <xdr:row>29</xdr:row>
                <xdr:rowOff>25400</xdr:rowOff>
              </from>
              <to>
                <xdr:col>6</xdr:col>
                <xdr:colOff>25400</xdr:colOff>
                <xdr:row>29</xdr:row>
                <xdr:rowOff>228600</xdr:rowOff>
              </to>
            </anchor>
          </objectPr>
        </oleObject>
      </mc:Choice>
      <mc:Fallback>
        <oleObject progId="Equation.3" shapeId="6366" r:id="rId5"/>
      </mc:Fallback>
    </mc:AlternateContent>
    <mc:AlternateContent xmlns:mc="http://schemas.openxmlformats.org/markup-compatibility/2006">
      <mc:Choice Requires="x14">
        <oleObject progId="Equation.3" shapeId="6368" r:id="rId7">
          <objectPr defaultSize="0" altText="" r:id="rId8">
            <anchor moveWithCells="1">
              <from>
                <xdr:col>2</xdr:col>
                <xdr:colOff>50800</xdr:colOff>
                <xdr:row>32</xdr:row>
                <xdr:rowOff>88900</xdr:rowOff>
              </from>
              <to>
                <xdr:col>2</xdr:col>
                <xdr:colOff>241300</xdr:colOff>
                <xdr:row>32</xdr:row>
                <xdr:rowOff>279400</xdr:rowOff>
              </to>
            </anchor>
          </objectPr>
        </oleObject>
      </mc:Choice>
      <mc:Fallback>
        <oleObject progId="Equation.3" shapeId="6368" r:id="rId7"/>
      </mc:Fallback>
    </mc:AlternateContent>
    <mc:AlternateContent xmlns:mc="http://schemas.openxmlformats.org/markup-compatibility/2006">
      <mc:Choice Requires="x14">
        <oleObject progId="Equation.3" shapeId="6370" r:id="rId9">
          <objectPr defaultSize="0" altText="" r:id="rId10">
            <anchor moveWithCells="1">
              <from>
                <xdr:col>8</xdr:col>
                <xdr:colOff>190500</xdr:colOff>
                <xdr:row>9</xdr:row>
                <xdr:rowOff>0</xdr:rowOff>
              </from>
              <to>
                <xdr:col>10</xdr:col>
                <xdr:colOff>215900</xdr:colOff>
                <xdr:row>10</xdr:row>
                <xdr:rowOff>88900</xdr:rowOff>
              </to>
            </anchor>
          </objectPr>
        </oleObject>
      </mc:Choice>
      <mc:Fallback>
        <oleObject progId="Equation.3" shapeId="6370" r:id="rId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B1:P43"/>
  <sheetViews>
    <sheetView workbookViewId="0">
      <selection activeCell="B2" sqref="B2:C2"/>
    </sheetView>
  </sheetViews>
  <sheetFormatPr baseColWidth="10" defaultColWidth="9" defaultRowHeight="14"/>
  <cols>
    <col min="1" max="1" width="4.5" style="45" customWidth="1"/>
    <col min="2" max="2" width="7.6640625" style="45" customWidth="1"/>
    <col min="3" max="6" width="7.33203125" style="45" customWidth="1"/>
    <col min="7" max="7" width="11.33203125" style="45" customWidth="1"/>
    <col min="8" max="11" width="7.33203125" style="45" customWidth="1"/>
    <col min="12" max="12" width="11.33203125" style="45" customWidth="1"/>
    <col min="13" max="13" width="6.6640625" style="45" customWidth="1"/>
    <col min="14" max="14" width="9" style="65" hidden="1" customWidth="1"/>
    <col min="15" max="16" width="9" style="45" hidden="1" customWidth="1"/>
    <col min="17" max="16384" width="9" style="45"/>
  </cols>
  <sheetData>
    <row r="1" spans="2:15">
      <c r="L1" s="58" t="s">
        <v>280</v>
      </c>
    </row>
    <row r="2" spans="2:15" ht="27" customHeight="1">
      <c r="B2" s="399" t="s">
        <v>281</v>
      </c>
      <c r="C2" s="399"/>
    </row>
    <row r="3" spans="2:15" ht="12.75" customHeight="1">
      <c r="B3" s="18"/>
      <c r="C3" s="47"/>
      <c r="D3" s="47"/>
      <c r="E3" s="47"/>
      <c r="F3" s="47"/>
      <c r="G3" s="47"/>
      <c r="H3" s="47"/>
      <c r="I3" s="47"/>
      <c r="J3" s="47"/>
      <c r="K3" s="47"/>
      <c r="L3" s="47"/>
    </row>
    <row r="5" spans="2:15" ht="16.5" customHeight="1">
      <c r="B5" s="23" t="s">
        <v>282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2:15" ht="14.25" customHeight="1"/>
    <row r="7" spans="2:15" ht="15" customHeight="1">
      <c r="B7" s="403" t="s">
        <v>283</v>
      </c>
      <c r="C7" s="406" t="str">
        <f>水尺计算!D3</f>
        <v>MOUNT BOLIVAR</v>
      </c>
      <c r="D7" s="406"/>
      <c r="E7" s="407"/>
      <c r="F7" s="403" t="s">
        <v>284</v>
      </c>
      <c r="G7" s="406" t="str">
        <f>IF(货物信息!C14="","合并货物名称",货物信息!C14)</f>
        <v>铁矿块</v>
      </c>
      <c r="H7" s="406"/>
      <c r="I7" s="407"/>
      <c r="J7" s="59" t="s">
        <v>285</v>
      </c>
      <c r="K7" s="60"/>
      <c r="L7" s="61">
        <f>工作记录!C6</f>
        <v>44337</v>
      </c>
    </row>
    <row r="8" spans="2:15" ht="13.5" customHeight="1">
      <c r="B8" s="404"/>
      <c r="C8" s="408"/>
      <c r="D8" s="408"/>
      <c r="E8" s="409"/>
      <c r="F8" s="404"/>
      <c r="G8" s="408"/>
      <c r="H8" s="408"/>
      <c r="I8" s="409"/>
      <c r="J8" s="62" t="s">
        <v>286</v>
      </c>
      <c r="K8" s="63"/>
      <c r="L8" s="64">
        <f>工作记录!D6</f>
        <v>44339</v>
      </c>
    </row>
    <row r="9" spans="2:15" ht="8.25" customHeight="1"/>
    <row r="10" spans="2:15" ht="16.5" customHeight="1">
      <c r="B10" s="405" t="s">
        <v>287</v>
      </c>
      <c r="C10" s="400" t="s">
        <v>288</v>
      </c>
      <c r="D10" s="400"/>
      <c r="E10" s="400"/>
      <c r="F10" s="400"/>
      <c r="G10" s="400"/>
      <c r="H10" s="400" t="s">
        <v>289</v>
      </c>
      <c r="I10" s="400"/>
      <c r="J10" s="400"/>
      <c r="K10" s="400"/>
      <c r="L10" s="400"/>
    </row>
    <row r="11" spans="2:15" ht="17.25" customHeight="1">
      <c r="B11" s="400"/>
      <c r="C11" s="49" t="s">
        <v>130</v>
      </c>
      <c r="D11" s="401">
        <f>水尺计算!D34</f>
        <v>4.7E-2</v>
      </c>
      <c r="E11" s="402"/>
      <c r="F11" s="49" t="s">
        <v>290</v>
      </c>
      <c r="G11" s="56">
        <f>船用物料!F18</f>
        <v>1.0249999999999999</v>
      </c>
      <c r="H11" s="49" t="s">
        <v>130</v>
      </c>
      <c r="I11" s="401">
        <f>水尺计算!E34</f>
        <v>0.433</v>
      </c>
      <c r="J11" s="402"/>
      <c r="K11" s="49" t="s">
        <v>290</v>
      </c>
      <c r="L11" s="56">
        <f>船用物料!H18</f>
        <v>1.0209999999999999</v>
      </c>
      <c r="N11" s="45">
        <f>N12+O12</f>
        <v>16</v>
      </c>
    </row>
    <row r="12" spans="2:15" ht="35.25" customHeight="1">
      <c r="B12" s="400"/>
      <c r="C12" s="48" t="s">
        <v>291</v>
      </c>
      <c r="D12" s="48" t="s">
        <v>292</v>
      </c>
      <c r="E12" s="48" t="s">
        <v>293</v>
      </c>
      <c r="F12" s="48" t="s">
        <v>294</v>
      </c>
      <c r="G12" s="48" t="s">
        <v>295</v>
      </c>
      <c r="H12" s="48" t="s">
        <v>291</v>
      </c>
      <c r="I12" s="48" t="s">
        <v>292</v>
      </c>
      <c r="J12" s="48" t="s">
        <v>293</v>
      </c>
      <c r="K12" s="48" t="s">
        <v>294</v>
      </c>
      <c r="L12" s="48" t="s">
        <v>296</v>
      </c>
      <c r="N12" s="46">
        <f>COUNTA(船用物料!C20:C63)</f>
        <v>14</v>
      </c>
      <c r="O12" s="46">
        <f>COUNTA(船用物料!C13:C15)</f>
        <v>2</v>
      </c>
    </row>
    <row r="13" spans="2:15" ht="15.75" customHeight="1">
      <c r="B13" s="50" t="str">
        <f>IF(N$12&gt;N13,船用物料!C20,IF(O13=0,船用物料!C$13,IF(AND(O13=1,O13&lt;O$12),船用物料!C$14,IF(AND(O13=2,O13&lt;O$12),船用物料!C$15,"/"))))</f>
        <v>FPT</v>
      </c>
      <c r="C13" s="51">
        <f>IF(N$12&gt;N13,船用物料!E20,IF(AND(O13&gt;=0,O13&lt;O$12),"————","   /"))</f>
        <v>7.0000000000000007E-2</v>
      </c>
      <c r="D13" s="51">
        <f>IF(N$12&gt;N13,船用物料!D20,IF(AND(O13&gt;=0,O13&lt;O$12),"————","   /"))</f>
        <v>19</v>
      </c>
      <c r="E13" s="50" t="s">
        <v>297</v>
      </c>
      <c r="F13" s="50" t="s">
        <v>297</v>
      </c>
      <c r="G13" s="57">
        <f>IF(N$12&gt;N13,船用物料!F20,IF(O13=0,船用物料!F$13,IF(AND(O13=1,O13&lt;O$12),船用物料!F$14,IF(AND(O13=2,O13&lt;O$12),船用物料!F$15,"     /"))))</f>
        <v>3.1</v>
      </c>
      <c r="H13" s="51">
        <f>IF(N$12&gt;N13,船用物料!G20,IF(AND(O13&gt;=0,O13&lt;O$12),"————","   /"))</f>
        <v>7.0000000000000007E-2</v>
      </c>
      <c r="I13" s="51">
        <f>IF(N$12&gt;N13,船用物料!D20,IF(AND(O13&gt;=0,O13&lt;O$12),"————","   /"))</f>
        <v>19</v>
      </c>
      <c r="J13" s="50" t="s">
        <v>297</v>
      </c>
      <c r="K13" s="50" t="s">
        <v>297</v>
      </c>
      <c r="L13" s="57">
        <f>IF(N$12&gt;N13,船用物料!H20,IF(O13=0,船用物料!H$13,IF(AND(O13=1,O13&lt;O$12),船用物料!H$14,IF(AND(O13=2,O13&lt;O$12),船用物料!H$15,"     /"))))</f>
        <v>3.1</v>
      </c>
      <c r="N13" s="46">
        <v>0</v>
      </c>
      <c r="O13" s="45">
        <f t="shared" ref="O13:O35" si="0">IF(N13&lt;N$12,-1,N13-N$12)</f>
        <v>-1</v>
      </c>
    </row>
    <row r="14" spans="2:15" ht="15.75" customHeight="1">
      <c r="B14" s="50" t="str">
        <f>IF(N$12&gt;N14,船用物料!C21,IF(O14=0,船用物料!C$13,IF(AND(O14=1,O14&lt;O$12),船用物料!C$14,IF(AND(O14=2,O14&lt;O$12),船用物料!C$15,"/"))))</f>
        <v>WBT 1P</v>
      </c>
      <c r="C14" s="51">
        <f>IF(N$12&gt;N14,船用物料!E21,IF(AND(O14&gt;=0,O14&lt;O$12),"————","   /"))</f>
        <v>0</v>
      </c>
      <c r="D14" s="51">
        <f>IF(N$12&gt;N14,船用物料!D21,IF(AND(O14&gt;=0,O14&lt;O$12),"————","   /"))</f>
        <v>23</v>
      </c>
      <c r="E14" s="50" t="s">
        <v>297</v>
      </c>
      <c r="F14" s="50" t="s">
        <v>297</v>
      </c>
      <c r="G14" s="57">
        <f>IF(N$12&gt;N14,船用物料!F21,IF(O14=0,船用物料!F$13,IF(AND(O14=1,O14&lt;O$12),船用物料!F$14,IF(AND(O14=2,O14&lt;O$12),船用物料!F$15,"     /"))))</f>
        <v>6.3</v>
      </c>
      <c r="H14" s="51">
        <f>IF(N$12&gt;N14,船用物料!G21,IF(AND(O14&gt;=0,O14&lt;O$12),"————","   /"))</f>
        <v>0</v>
      </c>
      <c r="I14" s="51">
        <f>IF(N$12&gt;N14,船用物料!D21,IF(AND(O14&gt;=0,O14&lt;O$12),"————","   /"))</f>
        <v>23</v>
      </c>
      <c r="J14" s="50" t="s">
        <v>297</v>
      </c>
      <c r="K14" s="50" t="s">
        <v>297</v>
      </c>
      <c r="L14" s="57">
        <f>IF(N$12&gt;N14,船用物料!H21,IF(O14=0,船用物料!H$13,IF(AND(O14=1,O14&lt;O$12),船用物料!H$14,IF(AND(O14=2,O14&lt;O$12),船用物料!H$15,"     /"))))</f>
        <v>6.3</v>
      </c>
      <c r="N14" s="46">
        <v>1</v>
      </c>
      <c r="O14" s="45">
        <f t="shared" si="0"/>
        <v>-1</v>
      </c>
    </row>
    <row r="15" spans="2:15" ht="15.75" customHeight="1">
      <c r="B15" s="50" t="str">
        <f>IF(N$12&gt;N15,船用物料!C22,IF(O15=0,船用物料!C$13,IF(AND(O15=1,O15&lt;O$12),船用物料!C$14,IF(AND(O15=2,O15&lt;O$12),船用物料!C$15,"/"))))</f>
        <v>WBT 1S</v>
      </c>
      <c r="C15" s="51">
        <f>IF(N$12&gt;N15,船用物料!E22,IF(AND(O15&gt;=0,O15&lt;O$12),"————","   /"))</f>
        <v>0</v>
      </c>
      <c r="D15" s="51">
        <f>IF(N$12&gt;N15,船用物料!D22,IF(AND(O15&gt;=0,O15&lt;O$12),"————","   /"))</f>
        <v>23</v>
      </c>
      <c r="E15" s="50" t="s">
        <v>297</v>
      </c>
      <c r="F15" s="50" t="s">
        <v>297</v>
      </c>
      <c r="G15" s="57">
        <f>IF(N$12&gt;N15,船用物料!F22,IF(O15=0,船用物料!F$13,IF(AND(O15=1,O15&lt;O$12),船用物料!F$14,IF(AND(O15=2,O15&lt;O$12),船用物料!F$15,"     /"))))</f>
        <v>6.3</v>
      </c>
      <c r="H15" s="51">
        <f>IF(N$12&gt;N15,船用物料!G22,IF(AND(O15&gt;=0,O15&lt;O$12),"————","   /"))</f>
        <v>0</v>
      </c>
      <c r="I15" s="51">
        <f>IF(N$12&gt;N15,船用物料!D22,IF(AND(O15&gt;=0,O15&lt;O$12),"————","   /"))</f>
        <v>23</v>
      </c>
      <c r="J15" s="50" t="s">
        <v>297</v>
      </c>
      <c r="K15" s="50" t="s">
        <v>297</v>
      </c>
      <c r="L15" s="57">
        <f>IF(N$12&gt;N15,船用物料!H22,IF(O15=0,船用物料!H$13,IF(AND(O15=1,O15&lt;O$12),船用物料!H$14,IF(AND(O15=2,O15&lt;O$12),船用物料!H$15,"     /"))))</f>
        <v>6.3</v>
      </c>
      <c r="N15" s="46">
        <v>2</v>
      </c>
      <c r="O15" s="45">
        <f t="shared" si="0"/>
        <v>-1</v>
      </c>
    </row>
    <row r="16" spans="2:15" ht="15.75" customHeight="1">
      <c r="B16" s="50" t="str">
        <f>IF(N$12&gt;N16,船用物料!C23,IF(O16=0,船用物料!C$13,IF(AND(O16=1,O16&lt;O$12),船用物料!C$14,IF(AND(O16=2,O16&lt;O$12),船用物料!C$15,"/"))))</f>
        <v>WBT 2P</v>
      </c>
      <c r="C16" s="51">
        <f>IF(N$12&gt;N16,船用物料!E23,IF(AND(O16&gt;=0,O16&lt;O$12),"————","   /"))</f>
        <v>0</v>
      </c>
      <c r="D16" s="51">
        <f>IF(N$12&gt;N16,船用物料!D23,IF(AND(O16&gt;=0,O16&lt;O$12),"————","   /"))</f>
        <v>23</v>
      </c>
      <c r="E16" s="50" t="s">
        <v>297</v>
      </c>
      <c r="F16" s="50" t="s">
        <v>297</v>
      </c>
      <c r="G16" s="57">
        <f>IF(N$12&gt;N16,船用物料!F23,IF(O16=0,船用物料!F$13,IF(AND(O16=1,O16&lt;O$12),船用物料!F$14,IF(AND(O16=2,O16&lt;O$12),船用物料!F$15,"     /"))))</f>
        <v>12.2</v>
      </c>
      <c r="H16" s="51">
        <f>IF(N$12&gt;N16,船用物料!G23,IF(AND(O16&gt;=0,O16&lt;O$12),"————","   /"))</f>
        <v>0</v>
      </c>
      <c r="I16" s="51">
        <f>IF(N$12&gt;N16,船用物料!D23,IF(AND(O16&gt;=0,O16&lt;O$12),"————","   /"))</f>
        <v>23</v>
      </c>
      <c r="J16" s="50" t="s">
        <v>297</v>
      </c>
      <c r="K16" s="50" t="s">
        <v>297</v>
      </c>
      <c r="L16" s="57">
        <f>IF(N$12&gt;N16,船用物料!H23,IF(O16=0,船用物料!H$13,IF(AND(O16=1,O16&lt;O$12),船用物料!H$14,IF(AND(O16=2,O16&lt;O$12),船用物料!H$15,"     /"))))</f>
        <v>12.2</v>
      </c>
      <c r="N16" s="46">
        <v>3</v>
      </c>
      <c r="O16" s="45">
        <f t="shared" si="0"/>
        <v>-1</v>
      </c>
    </row>
    <row r="17" spans="2:15" ht="15.75" customHeight="1">
      <c r="B17" s="50" t="str">
        <f>IF(N$12&gt;N17,船用物料!C24,IF(O17=0,船用物料!C$13,IF(AND(O17=1,O17&lt;O$12),船用物料!C$14,IF(AND(O17=2,O17&lt;O$12),船用物料!C$15,"/"))))</f>
        <v>WBT 2S</v>
      </c>
      <c r="C17" s="51">
        <f>IF(N$12&gt;N17,船用物料!E24,IF(AND(O17&gt;=0,O17&lt;O$12),"————","   /"))</f>
        <v>0</v>
      </c>
      <c r="D17" s="51">
        <f>IF(N$12&gt;N17,船用物料!D24,IF(AND(O17&gt;=0,O17&lt;O$12),"————","   /"))</f>
        <v>23</v>
      </c>
      <c r="E17" s="50" t="s">
        <v>297</v>
      </c>
      <c r="F17" s="50" t="s">
        <v>297</v>
      </c>
      <c r="G17" s="57">
        <f>IF(N$12&gt;N17,船用物料!F24,IF(O17=0,船用物料!F$13,IF(AND(O17=1,O17&lt;O$12),船用物料!F$14,IF(AND(O17=2,O17&lt;O$12),船用物料!F$15,"     /"))))</f>
        <v>12.2</v>
      </c>
      <c r="H17" s="51">
        <f>IF(N$12&gt;N17,船用物料!G24,IF(AND(O17&gt;=0,O17&lt;O$12),"————","   /"))</f>
        <v>0</v>
      </c>
      <c r="I17" s="51">
        <f>IF(N$12&gt;N17,船用物料!D24,IF(AND(O17&gt;=0,O17&lt;O$12),"————","   /"))</f>
        <v>23</v>
      </c>
      <c r="J17" s="50" t="s">
        <v>297</v>
      </c>
      <c r="K17" s="50" t="s">
        <v>297</v>
      </c>
      <c r="L17" s="57">
        <f>IF(N$12&gt;N17,船用物料!H24,IF(O17=0,船用物料!H$13,IF(AND(O17=1,O17&lt;O$12),船用物料!H$14,IF(AND(O17=2,O17&lt;O$12),船用物料!H$15,"     /"))))</f>
        <v>12.2</v>
      </c>
      <c r="N17" s="46">
        <v>4</v>
      </c>
      <c r="O17" s="45">
        <f t="shared" si="0"/>
        <v>-1</v>
      </c>
    </row>
    <row r="18" spans="2:15" ht="15.75" customHeight="1">
      <c r="B18" s="50" t="str">
        <f>IF(N$12&gt;N18,船用物料!C25,IF(O18=0,船用物料!C$13,IF(AND(O18=1,O18&lt;O$12),船用物料!C$14,IF(AND(O18=2,O18&lt;O$12),船用物料!C$15,"/"))))</f>
        <v>WBT 3P</v>
      </c>
      <c r="C18" s="51">
        <f>IF(N$12&gt;N18,船用物料!E25,IF(AND(O18&gt;=0,O18&lt;O$12),"————","   /"))</f>
        <v>0</v>
      </c>
      <c r="D18" s="51">
        <f>IF(N$12&gt;N18,船用物料!D25,IF(AND(O18&gt;=0,O18&lt;O$12),"————","   /"))</f>
        <v>23</v>
      </c>
      <c r="E18" s="50" t="s">
        <v>297</v>
      </c>
      <c r="F18" s="50" t="s">
        <v>297</v>
      </c>
      <c r="G18" s="57">
        <f>IF(N$12&gt;N18,船用物料!F25,IF(O18=0,船用物料!F$13,IF(AND(O18=1,O18&lt;O$12),船用物料!F$14,IF(AND(O18=2,O18&lt;O$12),船用物料!F$15,"     /"))))</f>
        <v>11.4</v>
      </c>
      <c r="H18" s="51">
        <f>IF(N$12&gt;N18,船用物料!G25,IF(AND(O18&gt;=0,O18&lt;O$12),"————","   /"))</f>
        <v>0</v>
      </c>
      <c r="I18" s="51">
        <f>IF(N$12&gt;N18,船用物料!D25,IF(AND(O18&gt;=0,O18&lt;O$12),"————","   /"))</f>
        <v>23</v>
      </c>
      <c r="J18" s="50" t="s">
        <v>297</v>
      </c>
      <c r="K18" s="50" t="s">
        <v>297</v>
      </c>
      <c r="L18" s="57">
        <f>IF(N$12&gt;N18,船用物料!H25,IF(O18=0,船用物料!H$13,IF(AND(O18=1,O18&lt;O$12),船用物料!H$14,IF(AND(O18=2,O18&lt;O$12),船用物料!H$15,"     /"))))</f>
        <v>11.4</v>
      </c>
      <c r="N18" s="46">
        <v>5</v>
      </c>
      <c r="O18" s="45">
        <f t="shared" si="0"/>
        <v>-1</v>
      </c>
    </row>
    <row r="19" spans="2:15" ht="15.75" customHeight="1">
      <c r="B19" s="50" t="str">
        <f>IF(N$12&gt;N19,船用物料!C26,IF(O19=0,船用物料!C$13,IF(AND(O19=1,O19&lt;O$12),船用物料!C$14,IF(AND(O19=2,O19&lt;O$12),船用物料!C$15,"/"))))</f>
        <v>WBT 3S</v>
      </c>
      <c r="C19" s="51">
        <f>IF(N$12&gt;N19,船用物料!E26,IF(AND(O19&gt;=0,O19&lt;O$12),"————","   /"))</f>
        <v>0</v>
      </c>
      <c r="D19" s="51">
        <f>IF(N$12&gt;N19,船用物料!D26,IF(AND(O19&gt;=0,O19&lt;O$12),"————","   /"))</f>
        <v>23</v>
      </c>
      <c r="E19" s="50" t="s">
        <v>297</v>
      </c>
      <c r="F19" s="50" t="s">
        <v>297</v>
      </c>
      <c r="G19" s="57">
        <f>IF(N$12&gt;N19,船用物料!F26,IF(O19=0,船用物料!F$13,IF(AND(O19=1,O19&lt;O$12),船用物料!F$14,IF(AND(O19=2,O19&lt;O$12),船用物料!F$15,"     /"))))</f>
        <v>11.4</v>
      </c>
      <c r="H19" s="51">
        <f>IF(N$12&gt;N19,船用物料!G26,IF(AND(O19&gt;=0,O19&lt;O$12),"————","   /"))</f>
        <v>0</v>
      </c>
      <c r="I19" s="51">
        <f>IF(N$12&gt;N19,船用物料!D26,IF(AND(O19&gt;=0,O19&lt;O$12),"————","   /"))</f>
        <v>23</v>
      </c>
      <c r="J19" s="50" t="s">
        <v>297</v>
      </c>
      <c r="K19" s="50" t="s">
        <v>297</v>
      </c>
      <c r="L19" s="57">
        <f>IF(N$12&gt;N19,船用物料!H26,IF(O19=0,船用物料!H$13,IF(AND(O19=1,O19&lt;O$12),船用物料!H$14,IF(AND(O19=2,O19&lt;O$12),船用物料!H$15,"     /"))))</f>
        <v>11.4</v>
      </c>
      <c r="N19" s="46">
        <v>6</v>
      </c>
      <c r="O19" s="45">
        <f t="shared" si="0"/>
        <v>-1</v>
      </c>
    </row>
    <row r="20" spans="2:15" ht="15.75" customHeight="1">
      <c r="B20" s="50" t="str">
        <f>IF(N$12&gt;N20,船用物料!C27,IF(O20=0,船用物料!C$13,IF(AND(O20=1,O20&lt;O$12),船用物料!C$14,IF(AND(O20=2,O20&lt;O$12),船用物料!C$15,"/"))))</f>
        <v>WBT 4P</v>
      </c>
      <c r="C20" s="51">
        <f>IF(N$12&gt;N20,船用物料!E27,IF(AND(O20&gt;=0,O20&lt;O$12),"————","   /"))</f>
        <v>0</v>
      </c>
      <c r="D20" s="51">
        <f>IF(N$12&gt;N20,船用物料!D27,IF(AND(O20&gt;=0,O20&lt;O$12),"————","   /"))</f>
        <v>23</v>
      </c>
      <c r="E20" s="50" t="s">
        <v>297</v>
      </c>
      <c r="F20" s="50" t="s">
        <v>297</v>
      </c>
      <c r="G20" s="57">
        <f>IF(N$12&gt;N20,船用物料!F27,IF(O20=0,船用物料!F$13,IF(AND(O20=1,O20&lt;O$12),船用物料!F$14,IF(AND(O20=2,O20&lt;O$12),船用物料!F$15,"     /"))))</f>
        <v>14</v>
      </c>
      <c r="H20" s="51">
        <f>IF(N$12&gt;N20,船用物料!G27,IF(AND(O20&gt;=0,O20&lt;O$12),"————","   /"))</f>
        <v>0</v>
      </c>
      <c r="I20" s="51">
        <f>IF(N$12&gt;N20,船用物料!D27,IF(AND(O20&gt;=0,O20&lt;O$12),"————","   /"))</f>
        <v>23</v>
      </c>
      <c r="J20" s="50" t="s">
        <v>297</v>
      </c>
      <c r="K20" s="50" t="s">
        <v>297</v>
      </c>
      <c r="L20" s="57">
        <f>IF(N$12&gt;N20,船用物料!H27,IF(O20=0,船用物料!H$13,IF(AND(O20=1,O20&lt;O$12),船用物料!H$14,IF(AND(O20=2,O20&lt;O$12),船用物料!H$15,"     /"))))</f>
        <v>14</v>
      </c>
      <c r="N20" s="46">
        <v>7</v>
      </c>
      <c r="O20" s="45">
        <f t="shared" si="0"/>
        <v>-1</v>
      </c>
    </row>
    <row r="21" spans="2:15" ht="15.75" customHeight="1">
      <c r="B21" s="50" t="str">
        <f>IF(N$12&gt;N21,船用物料!C28,IF(O21=0,船用物料!C$13,IF(AND(O21=1,O21&lt;O$12),船用物料!C$14,IF(AND(O21=2,O21&lt;O$12),船用物料!C$15,"/"))))</f>
        <v>WBT 4S</v>
      </c>
      <c r="C21" s="51">
        <f>IF(N$12&gt;N21,船用物料!E28,IF(AND(O21&gt;=0,O21&lt;O$12),"————","   /"))</f>
        <v>0</v>
      </c>
      <c r="D21" s="51">
        <f>IF(N$12&gt;N21,船用物料!D28,IF(AND(O21&gt;=0,O21&lt;O$12),"————","   /"))</f>
        <v>23</v>
      </c>
      <c r="E21" s="50" t="s">
        <v>297</v>
      </c>
      <c r="F21" s="50" t="s">
        <v>297</v>
      </c>
      <c r="G21" s="57">
        <f>IF(N$12&gt;N21,船用物料!F28,IF(O21=0,船用物料!F$13,IF(AND(O21=1,O21&lt;O$12),船用物料!F$14,IF(AND(O21=2,O21&lt;O$12),船用物料!F$15,"     /"))))</f>
        <v>14</v>
      </c>
      <c r="H21" s="51">
        <f>IF(N$12&gt;N21,船用物料!G28,IF(AND(O21&gt;=0,O21&lt;O$12),"————","   /"))</f>
        <v>0</v>
      </c>
      <c r="I21" s="51">
        <f>IF(N$12&gt;N21,船用物料!D28,IF(AND(O21&gt;=0,O21&lt;O$12),"————","   /"))</f>
        <v>23</v>
      </c>
      <c r="J21" s="50" t="s">
        <v>297</v>
      </c>
      <c r="K21" s="50" t="s">
        <v>297</v>
      </c>
      <c r="L21" s="57">
        <f>IF(N$12&gt;N21,船用物料!H28,IF(O21=0,船用物料!H$13,IF(AND(O21=1,O21&lt;O$12),船用物料!H$14,IF(AND(O21=2,O21&lt;O$12),船用物料!H$15,"     /"))))</f>
        <v>14</v>
      </c>
      <c r="N21" s="46">
        <v>8</v>
      </c>
      <c r="O21" s="45">
        <f t="shared" si="0"/>
        <v>-1</v>
      </c>
    </row>
    <row r="22" spans="2:15" ht="15.75" customHeight="1">
      <c r="B22" s="50" t="str">
        <f>IF(N$12&gt;N22,船用物料!C29,IF(O22=0,船用物料!C$13,IF(AND(O22=1,O22&lt;O$12),船用物料!C$14,IF(AND(O22=2,O22&lt;O$12),船用物料!C$15,"/"))))</f>
        <v>WBT 5P</v>
      </c>
      <c r="C22" s="51">
        <f>IF(N$12&gt;N22,船用物料!E29,IF(AND(O22&gt;=0,O22&lt;O$12),"————","   /"))</f>
        <v>0</v>
      </c>
      <c r="D22" s="51">
        <f>IF(N$12&gt;N22,船用物料!D29,IF(AND(O22&gt;=0,O22&lt;O$12),"————","   /"))</f>
        <v>23</v>
      </c>
      <c r="E22" s="50" t="s">
        <v>297</v>
      </c>
      <c r="F22" s="50" t="s">
        <v>297</v>
      </c>
      <c r="G22" s="57">
        <f>IF(N$12&gt;N22,船用物料!F29,IF(O22=0,船用物料!F$13,IF(AND(O22=1,O22&lt;O$12),船用物料!F$14,IF(AND(O22=2,O22&lt;O$12),船用物料!F$15,"     /"))))</f>
        <v>16.2</v>
      </c>
      <c r="H22" s="51">
        <f>IF(N$12&gt;N22,船用物料!G29,IF(AND(O22&gt;=0,O22&lt;O$12),"————","   /"))</f>
        <v>0</v>
      </c>
      <c r="I22" s="51">
        <f>IF(N$12&gt;N22,船用物料!D29,IF(AND(O22&gt;=0,O22&lt;O$12),"————","   /"))</f>
        <v>23</v>
      </c>
      <c r="J22" s="50" t="s">
        <v>297</v>
      </c>
      <c r="K22" s="50" t="s">
        <v>297</v>
      </c>
      <c r="L22" s="57">
        <f>IF(N$12&gt;N22,船用物料!H29,IF(O22=0,船用物料!H$13,IF(AND(O22=1,O22&lt;O$12),船用物料!H$14,IF(AND(O22=2,O22&lt;O$12),船用物料!H$15,"     /"))))</f>
        <v>16.2</v>
      </c>
      <c r="N22" s="46">
        <v>9</v>
      </c>
      <c r="O22" s="45">
        <f t="shared" si="0"/>
        <v>-1</v>
      </c>
    </row>
    <row r="23" spans="2:15" ht="15.75" customHeight="1">
      <c r="B23" s="50" t="str">
        <f>IF(N$12&gt;N23,船用物料!C30,IF(O23=0,船用物料!C$13,IF(AND(O23=1,O23&lt;O$12),船用物料!C$14,IF(AND(O23=2,O23&lt;O$12),船用物料!C$15,"/"))))</f>
        <v>WBT 5S</v>
      </c>
      <c r="C23" s="51">
        <f>IF(N$12&gt;N23,船用物料!E30,IF(AND(O23&gt;=0,O23&lt;O$12),"————","   /"))</f>
        <v>0</v>
      </c>
      <c r="D23" s="51">
        <f>IF(N$12&gt;N23,船用物料!D30,IF(AND(O23&gt;=0,O23&lt;O$12),"————","   /"))</f>
        <v>23</v>
      </c>
      <c r="E23" s="50" t="s">
        <v>297</v>
      </c>
      <c r="F23" s="50" t="s">
        <v>297</v>
      </c>
      <c r="G23" s="57">
        <f>IF(N$12&gt;N23,船用物料!F30,IF(O23=0,船用物料!F$13,IF(AND(O23=1,O23&lt;O$12),船用物料!F$14,IF(AND(O23=2,O23&lt;O$12),船用物料!F$15,"     /"))))</f>
        <v>25.9</v>
      </c>
      <c r="H23" s="51">
        <f>IF(N$12&gt;N23,船用物料!G30,IF(AND(O23&gt;=0,O23&lt;O$12),"————","   /"))</f>
        <v>0</v>
      </c>
      <c r="I23" s="51">
        <f>IF(N$12&gt;N23,船用物料!D30,IF(AND(O23&gt;=0,O23&lt;O$12),"————","   /"))</f>
        <v>23</v>
      </c>
      <c r="J23" s="50" t="s">
        <v>297</v>
      </c>
      <c r="K23" s="50" t="s">
        <v>297</v>
      </c>
      <c r="L23" s="57">
        <f>IF(N$12&gt;N23,船用物料!H30,IF(O23=0,船用物料!H$13,IF(AND(O23=1,O23&lt;O$12),船用物料!H$14,IF(AND(O23=2,O23&lt;O$12),船用物料!H$15,"     /"))))</f>
        <v>25.9</v>
      </c>
      <c r="N23" s="46">
        <v>10</v>
      </c>
      <c r="O23" s="45">
        <f t="shared" si="0"/>
        <v>-1</v>
      </c>
    </row>
    <row r="24" spans="2:15" ht="15.75" customHeight="1">
      <c r="B24" s="50" t="str">
        <f>IF(N$12&gt;N24,船用物料!C31,IF(O24=0,船用物料!C$13,IF(AND(O24=1,O24&lt;O$12),船用物料!C$14,IF(AND(O24=2,O24&lt;O$12),船用物料!C$15,"/"))))</f>
        <v>WBT 6P</v>
      </c>
      <c r="C24" s="51">
        <f>IF(N$12&gt;N24,船用物料!E31,IF(AND(O24&gt;=0,O24&lt;O$12),"————","   /"))</f>
        <v>0</v>
      </c>
      <c r="D24" s="51">
        <f>IF(N$12&gt;N24,船用物料!D31,IF(AND(O24&gt;=0,O24&lt;O$12),"————","   /"))</f>
        <v>23</v>
      </c>
      <c r="E24" s="50" t="s">
        <v>297</v>
      </c>
      <c r="F24" s="50" t="s">
        <v>297</v>
      </c>
      <c r="G24" s="57">
        <f>IF(N$12&gt;N24,船用物料!F31,IF(O24=0,船用物料!F$13,IF(AND(O24=1,O24&lt;O$12),船用物料!F$14,IF(AND(O24=2,O24&lt;O$12),船用物料!F$15,"     /"))))</f>
        <v>11.7</v>
      </c>
      <c r="H24" s="51">
        <f>IF(N$12&gt;N24,船用物料!G31,IF(AND(O24&gt;=0,O24&lt;O$12),"————","   /"))</f>
        <v>0</v>
      </c>
      <c r="I24" s="51">
        <f>IF(N$12&gt;N24,船用物料!D31,IF(AND(O24&gt;=0,O24&lt;O$12),"————","   /"))</f>
        <v>23</v>
      </c>
      <c r="J24" s="50" t="s">
        <v>297</v>
      </c>
      <c r="K24" s="50" t="s">
        <v>297</v>
      </c>
      <c r="L24" s="57">
        <f>IF(N$12&gt;N24,船用物料!H31,IF(O24=0,船用物料!H$13,IF(AND(O24=1,O24&lt;O$12),船用物料!H$14,IF(AND(O24=2,O24&lt;O$12),船用物料!H$15,"     /"))))</f>
        <v>11.7</v>
      </c>
      <c r="N24" s="46">
        <v>11</v>
      </c>
      <c r="O24" s="45">
        <f t="shared" si="0"/>
        <v>-1</v>
      </c>
    </row>
    <row r="25" spans="2:15" ht="15.75" customHeight="1">
      <c r="B25" s="50" t="str">
        <f>IF(N$12&gt;N25,船用物料!C32,IF(O25=0,船用物料!C$13,IF(AND(O25=1,O25&lt;O$12),船用物料!C$14,IF(AND(O25=2,O25&lt;O$12),船用物料!C$15,"/"))))</f>
        <v>WBT 6S</v>
      </c>
      <c r="C25" s="51">
        <f>IF(N$12&gt;N25,船用物料!E32,IF(AND(O25&gt;=0,O25&lt;O$12),"————","   /"))</f>
        <v>0</v>
      </c>
      <c r="D25" s="51">
        <f>IF(N$12&gt;N25,船用物料!D32,IF(AND(O25&gt;=0,O25&lt;O$12),"————","   /"))</f>
        <v>23</v>
      </c>
      <c r="E25" s="50" t="s">
        <v>297</v>
      </c>
      <c r="F25" s="50" t="s">
        <v>297</v>
      </c>
      <c r="G25" s="57">
        <f>IF(N$12&gt;N25,船用物料!F32,IF(O25=0,船用物料!F$13,IF(AND(O25=1,O25&lt;O$12),船用物料!F$14,IF(AND(O25=2,O25&lt;O$12),船用物料!F$15,"     /"))))</f>
        <v>12.3</v>
      </c>
      <c r="H25" s="51">
        <f>IF(N$12&gt;N25,船用物料!G32,IF(AND(O25&gt;=0,O25&lt;O$12),"————","   /"))</f>
        <v>0</v>
      </c>
      <c r="I25" s="51">
        <f>IF(N$12&gt;N25,船用物料!D32,IF(AND(O25&gt;=0,O25&lt;O$12),"————","   /"))</f>
        <v>23</v>
      </c>
      <c r="J25" s="50" t="s">
        <v>297</v>
      </c>
      <c r="K25" s="50" t="s">
        <v>297</v>
      </c>
      <c r="L25" s="57">
        <f>IF(N$12&gt;N25,船用物料!H32,IF(O25=0,船用物料!H$13,IF(AND(O25=1,O25&lt;O$12),船用物料!H$14,IF(AND(O25=2,O25&lt;O$12),船用物料!H$15,"     /"))))</f>
        <v>12.3</v>
      </c>
      <c r="N25" s="46">
        <v>12</v>
      </c>
      <c r="O25" s="45">
        <f t="shared" si="0"/>
        <v>-1</v>
      </c>
    </row>
    <row r="26" spans="2:15" ht="15.75" customHeight="1">
      <c r="B26" s="50" t="str">
        <f>IF(N$12&gt;N26,船用物料!C33,IF(O26=0,船用物料!C$13,IF(AND(O26=1,O26&lt;O$12),船用物料!C$14,IF(AND(O26=2,O26&lt;O$12),船用物料!C$15,"/"))))</f>
        <v>APT</v>
      </c>
      <c r="C26" s="51">
        <f>IF(N$12&gt;N26,船用物料!E33,IF(AND(O26&gt;=0,O26&lt;O$12),"————","   /"))</f>
        <v>5.01</v>
      </c>
      <c r="D26" s="51">
        <f>IF(N$12&gt;N26,船用物料!D33,IF(AND(O26&gt;=0,O26&lt;O$12),"————","   /"))</f>
        <v>16.3</v>
      </c>
      <c r="E26" s="50" t="s">
        <v>297</v>
      </c>
      <c r="F26" s="50" t="s">
        <v>297</v>
      </c>
      <c r="G26" s="57">
        <f>IF(N$12&gt;N26,船用物料!F33,IF(O26=0,船用物料!F$13,IF(AND(O26=1,O26&lt;O$12),船用物料!F$14,IF(AND(O26=2,O26&lt;O$12),船用物料!F$15,"     /"))))</f>
        <v>404</v>
      </c>
      <c r="H26" s="51">
        <f>IF(N$12&gt;N26,船用物料!G33,IF(AND(O26&gt;=0,O26&lt;O$12),"————","   /"))</f>
        <v>5.01</v>
      </c>
      <c r="I26" s="51">
        <f>IF(N$12&gt;N26,船用物料!D33,IF(AND(O26&gt;=0,O26&lt;O$12),"————","   /"))</f>
        <v>16.3</v>
      </c>
      <c r="J26" s="50" t="s">
        <v>297</v>
      </c>
      <c r="K26" s="50" t="s">
        <v>297</v>
      </c>
      <c r="L26" s="57">
        <f>IF(N$12&gt;N26,船用物料!H33,IF(O26=0,船用物料!H$13,IF(AND(O26=1,O26&lt;O$12),船用物料!H$14,IF(AND(O26=2,O26&lt;O$12),船用物料!H$15,"     /"))))</f>
        <v>404</v>
      </c>
      <c r="N26" s="46">
        <v>13</v>
      </c>
      <c r="O26" s="45">
        <f t="shared" si="0"/>
        <v>-1</v>
      </c>
    </row>
    <row r="27" spans="2:15" ht="15.75" customHeight="1">
      <c r="B27" s="50" t="str">
        <f>IF(N$12&gt;N27,船用物料!C34,IF(O27=0,船用物料!C$13,IF(AND(O27=1,O27&lt;O$12),船用物料!C$14,IF(AND(O27=2,O27&lt;O$12),船用物料!C$15,"/"))))</f>
        <v>FW P</v>
      </c>
      <c r="C27" s="51" t="str">
        <f>IF(N$12&gt;N27,船用物料!E34,IF(AND(O27&gt;=0,O27&lt;O$12),"————","   /"))</f>
        <v>————</v>
      </c>
      <c r="D27" s="51" t="str">
        <f>IF(N$12&gt;N27,船用物料!D34,IF(AND(O27&gt;=0,O27&lt;O$12),"————","   /"))</f>
        <v>————</v>
      </c>
      <c r="E27" s="50" t="s">
        <v>297</v>
      </c>
      <c r="F27" s="50" t="s">
        <v>297</v>
      </c>
      <c r="G27" s="57">
        <f>IF(N$12&gt;N27,船用物料!F34,IF(O27=0,船用物料!F$13,IF(AND(O27=1,O27&lt;O$12),船用物料!F$14,IF(AND(O27=2,O27&lt;O$12),船用物料!F$15,"     /"))))</f>
        <v>100</v>
      </c>
      <c r="H27" s="51" t="str">
        <f>IF(N$12&gt;N27,船用物料!G34,IF(AND(O27&gt;=0,O27&lt;O$12),"————","   /"))</f>
        <v>————</v>
      </c>
      <c r="I27" s="51" t="str">
        <f>IF(N$12&gt;N27,船用物料!D34,IF(AND(O27&gt;=0,O27&lt;O$12),"————","   /"))</f>
        <v>————</v>
      </c>
      <c r="J27" s="50" t="s">
        <v>297</v>
      </c>
      <c r="K27" s="50" t="s">
        <v>297</v>
      </c>
      <c r="L27" s="57">
        <f>IF(N$12&gt;N27,船用物料!H34,IF(O27=0,船用物料!H$13,IF(AND(O27=1,O27&lt;O$12),船用物料!H$14,IF(AND(O27=2,O27&lt;O$12),船用物料!H$15,"     /"))))</f>
        <v>100</v>
      </c>
      <c r="N27" s="46">
        <v>14</v>
      </c>
      <c r="O27" s="45">
        <f t="shared" si="0"/>
        <v>0</v>
      </c>
    </row>
    <row r="28" spans="2:15" ht="15.75" customHeight="1">
      <c r="B28" s="50" t="str">
        <f>IF(N$12&gt;N28,船用物料!C35,IF(O28=0,船用物料!C$13,IF(AND(O28=1,O28&lt;O$12),船用物料!C$14,IF(AND(O28=2,O28&lt;O$12),船用物料!C$15,"/"))))</f>
        <v>FW S</v>
      </c>
      <c r="C28" s="51" t="str">
        <f>IF(N$12&gt;N28,船用物料!E35,IF(AND(O28&gt;=0,O28&lt;O$12),"————","   /"))</f>
        <v>————</v>
      </c>
      <c r="D28" s="51" t="str">
        <f>IF(N$12&gt;N28,船用物料!D35,IF(AND(O28&gt;=0,O28&lt;O$12),"————","   /"))</f>
        <v>————</v>
      </c>
      <c r="E28" s="50" t="s">
        <v>297</v>
      </c>
      <c r="F28" s="50" t="s">
        <v>297</v>
      </c>
      <c r="G28" s="57">
        <f>IF(N$12&gt;N28,船用物料!F35,IF(O28=0,船用物料!F$13,IF(AND(O28=1,O28&lt;O$12),船用物料!F$14,IF(AND(O28=2,O28&lt;O$12),船用物料!F$15,"     /"))))</f>
        <v>186</v>
      </c>
      <c r="H28" s="51" t="str">
        <f>IF(N$12&gt;N28,船用物料!G35,IF(AND(O28&gt;=0,O28&lt;O$12),"————","   /"))</f>
        <v>————</v>
      </c>
      <c r="I28" s="51" t="str">
        <f>IF(N$12&gt;N28,船用物料!D35,IF(AND(O28&gt;=0,O28&lt;O$12),"————","   /"))</f>
        <v>————</v>
      </c>
      <c r="J28" s="50" t="s">
        <v>297</v>
      </c>
      <c r="K28" s="50" t="s">
        <v>297</v>
      </c>
      <c r="L28" s="57">
        <f>IF(N$12&gt;N28,船用物料!H35,IF(O28=0,船用物料!H$13,IF(AND(O28=1,O28&lt;O$12),船用物料!H$14,IF(AND(O28=2,O28&lt;O$12),船用物料!H$15,"     /"))))</f>
        <v>175</v>
      </c>
      <c r="N28" s="46">
        <v>15</v>
      </c>
      <c r="O28" s="45">
        <f t="shared" si="0"/>
        <v>1</v>
      </c>
    </row>
    <row r="29" spans="2:15" ht="15.75" customHeight="1">
      <c r="B29" s="50" t="str">
        <f>IF(N$12&gt;N29,船用物料!C36,IF(O29=0,船用物料!C$13,IF(AND(O29=1,O29&lt;O$12),船用物料!C$14,IF(AND(O29=2,O29&lt;O$12),船用物料!C$15,"/"))))</f>
        <v>/</v>
      </c>
      <c r="C29" s="51" t="str">
        <f>IF(N$12&gt;N29,船用物料!E36,IF(AND(O29&gt;=0,O29&lt;O$12),"————","   /"))</f>
        <v xml:space="preserve">   /</v>
      </c>
      <c r="D29" s="51" t="str">
        <f>IF(N$12&gt;N29,船用物料!D36,IF(AND(O29&gt;=0,O29&lt;O$12),"————","   /"))</f>
        <v xml:space="preserve">   /</v>
      </c>
      <c r="E29" s="50" t="s">
        <v>297</v>
      </c>
      <c r="F29" s="50" t="s">
        <v>297</v>
      </c>
      <c r="G29" s="57" t="str">
        <f>IF(N$12&gt;N29,船用物料!F36,IF(O29=0,船用物料!F$13,IF(AND(O29=1,O29&lt;O$12),船用物料!F$14,IF(AND(O29=2,O29&lt;O$12),船用物料!F$15,"     /"))))</f>
        <v xml:space="preserve">     /</v>
      </c>
      <c r="H29" s="51" t="str">
        <f>IF(N$12&gt;N29,船用物料!G36,IF(AND(O29&gt;=0,O29&lt;O$12),"————","   /"))</f>
        <v xml:space="preserve">   /</v>
      </c>
      <c r="I29" s="51" t="str">
        <f>IF(N$12&gt;N29,船用物料!D36,IF(AND(O29&gt;=0,O29&lt;O$12),"————","   /"))</f>
        <v xml:space="preserve">   /</v>
      </c>
      <c r="J29" s="50" t="s">
        <v>297</v>
      </c>
      <c r="K29" s="50" t="s">
        <v>297</v>
      </c>
      <c r="L29" s="57" t="str">
        <f>IF(N$12&gt;N29,船用物料!H36,IF(O29=0,船用物料!H$13,IF(AND(O29=1,O29&lt;O$12),船用物料!H$14,IF(AND(O29=2,O29&lt;O$12),船用物料!H$15,"     /"))))</f>
        <v xml:space="preserve">     /</v>
      </c>
      <c r="N29" s="46">
        <v>16</v>
      </c>
      <c r="O29" s="45">
        <f t="shared" si="0"/>
        <v>2</v>
      </c>
    </row>
    <row r="30" spans="2:15" ht="15.75" customHeight="1">
      <c r="B30" s="50" t="str">
        <f>IF(N$12&gt;N30,船用物料!C37,IF(O30=0,船用物料!C$13,IF(AND(O30=1,O30&lt;O$12),船用物料!C$14,IF(AND(O30=2,O30&lt;O$12),船用物料!C$15,"/"))))</f>
        <v>/</v>
      </c>
      <c r="C30" s="51" t="str">
        <f>IF(N$12&gt;N30,船用物料!E37,IF(AND(O30&gt;=0,O30&lt;O$12),"————","   /"))</f>
        <v xml:space="preserve">   /</v>
      </c>
      <c r="D30" s="51" t="str">
        <f>IF(N$12&gt;N30,船用物料!D37,IF(AND(O30&gt;=0,O30&lt;O$12),"————","   /"))</f>
        <v xml:space="preserve">   /</v>
      </c>
      <c r="E30" s="50" t="s">
        <v>297</v>
      </c>
      <c r="F30" s="50" t="s">
        <v>297</v>
      </c>
      <c r="G30" s="57" t="str">
        <f>IF(N$12&gt;N30,船用物料!F37,IF(O30=0,船用物料!F$13,IF(AND(O30=1,O30&lt;O$12),船用物料!F$14,IF(AND(O30=2,O30&lt;O$12),船用物料!F$15,"     /"))))</f>
        <v xml:space="preserve">     /</v>
      </c>
      <c r="H30" s="51" t="str">
        <f>IF(N$12&gt;N30,船用物料!G37,IF(AND(O30&gt;=0,O30&lt;O$12),"————","   /"))</f>
        <v xml:space="preserve">   /</v>
      </c>
      <c r="I30" s="51" t="str">
        <f>IF(N$12&gt;N30,船用物料!D37,IF(AND(O30&gt;=0,O30&lt;O$12),"————","   /"))</f>
        <v xml:space="preserve">   /</v>
      </c>
      <c r="J30" s="50" t="s">
        <v>297</v>
      </c>
      <c r="K30" s="50" t="s">
        <v>297</v>
      </c>
      <c r="L30" s="57" t="str">
        <f>IF(N$12&gt;N30,船用物料!H37,IF(O30=0,船用物料!H$13,IF(AND(O30=1,O30&lt;O$12),船用物料!H$14,IF(AND(O30=2,O30&lt;O$12),船用物料!H$15,"     /"))))</f>
        <v xml:space="preserve">     /</v>
      </c>
      <c r="N30" s="46">
        <v>17</v>
      </c>
      <c r="O30" s="45">
        <f t="shared" si="0"/>
        <v>3</v>
      </c>
    </row>
    <row r="31" spans="2:15" ht="15.75" customHeight="1">
      <c r="B31" s="50" t="str">
        <f>IF(N$12&gt;N31,船用物料!C38,IF(O31=0,船用物料!C$13,IF(AND(O31=1,O31&lt;O$12),船用物料!C$14,IF(AND(O31=2,O31&lt;O$12),船用物料!C$15,"/"))))</f>
        <v>/</v>
      </c>
      <c r="C31" s="51" t="str">
        <f>IF(N$12&gt;N31,船用物料!E38,IF(AND(O31&gt;=0,O31&lt;O$12),"————","   /"))</f>
        <v xml:space="preserve">   /</v>
      </c>
      <c r="D31" s="51" t="str">
        <f>IF(N$12&gt;N31,船用物料!D38,IF(AND(O31&gt;=0,O31&lt;O$12),"————","   /"))</f>
        <v xml:space="preserve">   /</v>
      </c>
      <c r="E31" s="50" t="s">
        <v>297</v>
      </c>
      <c r="F31" s="50" t="s">
        <v>297</v>
      </c>
      <c r="G31" s="57" t="str">
        <f>IF(N$12&gt;N31,船用物料!F38,IF(O31=0,船用物料!F$13,IF(AND(O31=1,O31&lt;O$12),船用物料!F$14,IF(AND(O31=2,O31&lt;O$12),船用物料!F$15,"     /"))))</f>
        <v xml:space="preserve">     /</v>
      </c>
      <c r="H31" s="51" t="str">
        <f>IF(N$12&gt;N31,船用物料!G38,IF(AND(O31&gt;=0,O31&lt;O$12),"————","   /"))</f>
        <v xml:space="preserve">   /</v>
      </c>
      <c r="I31" s="51" t="str">
        <f>IF(N$12&gt;N31,船用物料!D38,IF(AND(O31&gt;=0,O31&lt;O$12),"————","   /"))</f>
        <v xml:space="preserve">   /</v>
      </c>
      <c r="J31" s="50" t="s">
        <v>297</v>
      </c>
      <c r="K31" s="50" t="s">
        <v>297</v>
      </c>
      <c r="L31" s="57" t="str">
        <f>IF(N$12&gt;N31,船用物料!H38,IF(O31=0,船用物料!H$13,IF(AND(O31=1,O31&lt;O$12),船用物料!H$14,IF(AND(O31=2,O31&lt;O$12),船用物料!H$15,"     /"))))</f>
        <v xml:space="preserve">     /</v>
      </c>
      <c r="N31" s="46">
        <v>18</v>
      </c>
      <c r="O31" s="45">
        <f t="shared" si="0"/>
        <v>4</v>
      </c>
    </row>
    <row r="32" spans="2:15" ht="15.75" customHeight="1">
      <c r="B32" s="50" t="str">
        <f>IF(N$12&gt;N32,船用物料!C39,IF(O32=0,船用物料!C$13,IF(AND(O32=1,O32&lt;O$12),船用物料!C$14,IF(AND(O32=2,O32&lt;O$12),船用物料!C$15,"/"))))</f>
        <v>/</v>
      </c>
      <c r="C32" s="51" t="str">
        <f>IF(N$12&gt;N32,船用物料!E39,IF(AND(O32&gt;=0,O32&lt;O$12),"————","   /"))</f>
        <v xml:space="preserve">   /</v>
      </c>
      <c r="D32" s="51" t="str">
        <f>IF(N$12&gt;N32,船用物料!D39,IF(AND(O32&gt;=0,O32&lt;O$12),"————","   /"))</f>
        <v xml:space="preserve">   /</v>
      </c>
      <c r="E32" s="50" t="s">
        <v>297</v>
      </c>
      <c r="F32" s="50" t="s">
        <v>297</v>
      </c>
      <c r="G32" s="57" t="str">
        <f>IF(N$12&gt;N32,船用物料!F39,IF(O32=0,船用物料!F$13,IF(AND(O32=1,O32&lt;O$12),船用物料!F$14,IF(AND(O32=2,O32&lt;O$12),船用物料!F$15,"     /"))))</f>
        <v xml:space="preserve">     /</v>
      </c>
      <c r="H32" s="51" t="str">
        <f>IF(N$12&gt;N32,船用物料!G39,IF(AND(O32&gt;=0,O32&lt;O$12),"————","   /"))</f>
        <v xml:space="preserve">   /</v>
      </c>
      <c r="I32" s="51" t="str">
        <f>IF(N$12&gt;N32,船用物料!D39,IF(AND(O32&gt;=0,O32&lt;O$12),"————","   /"))</f>
        <v xml:space="preserve">   /</v>
      </c>
      <c r="J32" s="50" t="s">
        <v>297</v>
      </c>
      <c r="K32" s="50" t="s">
        <v>297</v>
      </c>
      <c r="L32" s="57" t="str">
        <f>IF(N$12&gt;N32,船用物料!H39,IF(O32=0,船用物料!H$13,IF(AND(O32=1,O32&lt;O$12),船用物料!H$14,IF(AND(O32=2,O32&lt;O$12),船用物料!H$15,"     /"))))</f>
        <v xml:space="preserve">     /</v>
      </c>
      <c r="N32" s="46">
        <v>19</v>
      </c>
      <c r="O32" s="45">
        <f t="shared" si="0"/>
        <v>5</v>
      </c>
    </row>
    <row r="33" spans="2:16" ht="15.75" customHeight="1">
      <c r="B33" s="50" t="str">
        <f>IF(N$12&gt;N33,船用物料!C40,IF(O33=0,船用物料!C$13,IF(AND(O33=1,O33&lt;O$12),船用物料!C$14,IF(AND(O33=2,O33&lt;O$12),船用物料!C$15,"/"))))</f>
        <v>/</v>
      </c>
      <c r="C33" s="51" t="str">
        <f>IF(N$12&gt;N33,船用物料!E40,IF(AND(O33&gt;=0,O33&lt;O$12),"————","   /"))</f>
        <v xml:space="preserve">   /</v>
      </c>
      <c r="D33" s="51" t="str">
        <f>IF(N$12&gt;N33,船用物料!D40,IF(AND(O33&gt;=0,O33&lt;O$12),"————","   /"))</f>
        <v xml:space="preserve">   /</v>
      </c>
      <c r="E33" s="50" t="s">
        <v>297</v>
      </c>
      <c r="F33" s="50" t="s">
        <v>297</v>
      </c>
      <c r="G33" s="57" t="str">
        <f>IF(N$12&gt;N33,船用物料!F40,IF(O33=0,船用物料!F$13,IF(AND(O33=1,O33&lt;O$12),船用物料!F$14,IF(AND(O33=2,O33&lt;O$12),船用物料!F$15,"     /"))))</f>
        <v xml:space="preserve">     /</v>
      </c>
      <c r="H33" s="51" t="str">
        <f>IF(N$12&gt;N33,船用物料!G40,IF(AND(O33&gt;=0,O33&lt;O$12),"————","   /"))</f>
        <v xml:space="preserve">   /</v>
      </c>
      <c r="I33" s="51" t="str">
        <f>IF(N$12&gt;N33,船用物料!D40,IF(AND(O33&gt;=0,O33&lt;O$12),"————","   /"))</f>
        <v xml:space="preserve">   /</v>
      </c>
      <c r="J33" s="50" t="s">
        <v>297</v>
      </c>
      <c r="K33" s="50" t="s">
        <v>297</v>
      </c>
      <c r="L33" s="57" t="str">
        <f>IF(N$12&gt;N33,船用物料!H40,IF(O33=0,船用物料!H$13,IF(AND(O33=1,O33&lt;O$12),船用物料!H$14,IF(AND(O33=2,O33&lt;O$12),船用物料!H$15,"     /"))))</f>
        <v xml:space="preserve">     /</v>
      </c>
      <c r="N33" s="46">
        <v>20</v>
      </c>
      <c r="O33" s="45">
        <f t="shared" si="0"/>
        <v>6</v>
      </c>
    </row>
    <row r="34" spans="2:16" ht="15.75" customHeight="1">
      <c r="B34" s="50" t="str">
        <f>IF(N$12&gt;N34,船用物料!C41,IF(O34=0,船用物料!C$13,IF(AND(O34=1,O34&lt;O$12),船用物料!C$14,IF(AND(O34=2,O34&lt;O$12),船用物料!C$15,"/"))))</f>
        <v>/</v>
      </c>
      <c r="C34" s="51" t="str">
        <f>IF(N$12&gt;N34,船用物料!E41,IF(AND(O34&gt;=0,O34&lt;O$12),"————","   /"))</f>
        <v xml:space="preserve">   /</v>
      </c>
      <c r="D34" s="51" t="str">
        <f>IF(N$12&gt;N34,船用物料!D41,IF(AND(O34&gt;=0,O34&lt;O$12),"————","   /"))</f>
        <v xml:space="preserve">   /</v>
      </c>
      <c r="E34" s="50" t="s">
        <v>297</v>
      </c>
      <c r="F34" s="50" t="s">
        <v>297</v>
      </c>
      <c r="G34" s="57" t="str">
        <f>IF(N$12&gt;N34,船用物料!F41,IF(O34=0,船用物料!F$13,IF(AND(O34=1,O34&lt;O$12),船用物料!F$14,IF(AND(O34=2,O34&lt;O$12),船用物料!F$15,"     /"))))</f>
        <v xml:space="preserve">     /</v>
      </c>
      <c r="H34" s="51" t="str">
        <f>IF(N$12&gt;N34,船用物料!G41,IF(AND(O34&gt;=0,O34&lt;O$12),"————","   /"))</f>
        <v xml:space="preserve">   /</v>
      </c>
      <c r="I34" s="51" t="str">
        <f>IF(N$12&gt;N34,船用物料!D41,IF(AND(O34&gt;=0,O34&lt;O$12),"————","   /"))</f>
        <v xml:space="preserve">   /</v>
      </c>
      <c r="J34" s="50" t="s">
        <v>297</v>
      </c>
      <c r="K34" s="50" t="s">
        <v>297</v>
      </c>
      <c r="L34" s="57" t="str">
        <f>IF(N$12&gt;N34,船用物料!H41,IF(O34=0,船用物料!H$13,IF(AND(O34=1,O34&lt;O$12),船用物料!H$14,IF(AND(O34=2,O34&lt;O$12),船用物料!H$15,"     /"))))</f>
        <v xml:space="preserve">     /</v>
      </c>
      <c r="N34" s="46">
        <v>21</v>
      </c>
      <c r="O34" s="45">
        <f t="shared" si="0"/>
        <v>7</v>
      </c>
    </row>
    <row r="35" spans="2:16" ht="15.75" customHeight="1">
      <c r="B35" s="50" t="str">
        <f>IF(N$12&gt;N35,船用物料!C42,IF(O35=0,船用物料!C$13,IF(AND(O35=1,O35&lt;O$12),船用物料!C$14,IF(AND(O35=2,O35&lt;O$12),船用物料!C$15,"/"))))</f>
        <v>/</v>
      </c>
      <c r="C35" s="51" t="str">
        <f>IF(N$12&gt;N35,船用物料!E42,IF(AND(O35&gt;=0,O35&lt;O$12),"————","   /"))</f>
        <v xml:space="preserve">   /</v>
      </c>
      <c r="D35" s="51" t="str">
        <f>IF(N$12&gt;N35,船用物料!D42,IF(AND(O35&gt;=0,O35&lt;O$12),"————","   /"))</f>
        <v xml:space="preserve">   /</v>
      </c>
      <c r="E35" s="50" t="s">
        <v>297</v>
      </c>
      <c r="F35" s="50" t="s">
        <v>297</v>
      </c>
      <c r="G35" s="57" t="str">
        <f>IF(N$12&gt;N35,船用物料!F42,IF(O35=0,船用物料!F$13,IF(AND(O35=1,O35&lt;O$12),船用物料!F$14,IF(AND(O35=2,O35&lt;O$12),船用物料!F$15,"     /"))))</f>
        <v xml:space="preserve">     /</v>
      </c>
      <c r="H35" s="51" t="str">
        <f>IF(N$12&gt;N35,船用物料!G42,IF(AND(O35&gt;=0,O35&lt;O$12),"————","   /"))</f>
        <v xml:space="preserve">   /</v>
      </c>
      <c r="I35" s="51" t="str">
        <f>IF(N$12&gt;N35,船用物料!D42,IF(AND(O35&gt;=0,O35&lt;O$12),"————","   /"))</f>
        <v xml:space="preserve">   /</v>
      </c>
      <c r="J35" s="50" t="s">
        <v>297</v>
      </c>
      <c r="K35" s="50" t="s">
        <v>297</v>
      </c>
      <c r="L35" s="57" t="str">
        <f>IF(N$12&gt;N35,船用物料!H42,IF(O35=0,船用物料!H$13,IF(AND(O35=1,O35&lt;O$12),船用物料!H$14,IF(AND(O35=2,O35&lt;O$12),船用物料!H$15,"     /"))))</f>
        <v xml:space="preserve">     /</v>
      </c>
      <c r="N35" s="46">
        <v>22</v>
      </c>
      <c r="O35" s="45">
        <f t="shared" si="0"/>
        <v>8</v>
      </c>
    </row>
    <row r="36" spans="2:16" ht="15.75" customHeight="1">
      <c r="B36" s="345" t="s">
        <v>53</v>
      </c>
      <c r="C36" s="52" t="s">
        <v>145</v>
      </c>
      <c r="D36" s="53"/>
      <c r="E36" s="410">
        <f>船用物料!F65</f>
        <v>575</v>
      </c>
      <c r="F36" s="411"/>
      <c r="G36" s="412"/>
      <c r="H36" s="52" t="s">
        <v>145</v>
      </c>
      <c r="I36" s="53"/>
      <c r="J36" s="410">
        <f>船用物料!H65</f>
        <v>575</v>
      </c>
      <c r="K36" s="411"/>
      <c r="L36" s="412"/>
    </row>
    <row r="37" spans="2:16" ht="15.75" customHeight="1">
      <c r="B37" s="345"/>
      <c r="C37" s="52" t="s">
        <v>298</v>
      </c>
      <c r="D37" s="53"/>
      <c r="E37" s="410">
        <f>船用物料!F16</f>
        <v>286</v>
      </c>
      <c r="F37" s="411"/>
      <c r="G37" s="412"/>
      <c r="H37" s="52" t="s">
        <v>298</v>
      </c>
      <c r="I37" s="53"/>
      <c r="J37" s="410">
        <f>船用物料!H16</f>
        <v>275</v>
      </c>
      <c r="K37" s="411"/>
      <c r="L37" s="412"/>
    </row>
    <row r="38" spans="2:16" ht="15.75" customHeight="1">
      <c r="B38" s="345"/>
      <c r="C38" s="52" t="s">
        <v>299</v>
      </c>
      <c r="D38" s="53"/>
      <c r="E38" s="410" t="str">
        <f>IF(N38&lt;2,O40,IF(N38&lt;3,O40&amp;"+"&amp;O41&amp;"="&amp;O43,O40&amp;"+"&amp;O41&amp;"+"&amp;O42&amp;"="&amp;O43))&amp;" MT"</f>
        <v>1626.4+249.1+47.1=1922.6 MT</v>
      </c>
      <c r="F38" s="411"/>
      <c r="G38" s="412"/>
      <c r="H38" s="52" t="s">
        <v>299</v>
      </c>
      <c r="I38" s="53"/>
      <c r="J38" s="410" t="str">
        <f>IF(N38&lt;2,P40,IF(N38&lt;3,P40&amp;"+"&amp;P41&amp;"="&amp;P43,P40&amp;"+"&amp;P41&amp;"+"&amp;P42&amp;"="&amp;P43))&amp;" MT"</f>
        <v>1626.4+245.1+47.1=1918.6 MT</v>
      </c>
      <c r="K38" s="411"/>
      <c r="L38" s="412"/>
      <c r="N38" s="46">
        <f>COUNTA(船用物料!F7:F9)</f>
        <v>3</v>
      </c>
    </row>
    <row r="39" spans="2:16" ht="55.5" customHeight="1">
      <c r="B39" s="25" t="s">
        <v>169</v>
      </c>
      <c r="C39" s="400" t="str">
        <f>船用物料!E66</f>
        <v>无</v>
      </c>
      <c r="D39" s="400"/>
      <c r="E39" s="400"/>
      <c r="F39" s="400"/>
      <c r="G39" s="400"/>
      <c r="H39" s="400"/>
      <c r="I39" s="400"/>
      <c r="J39" s="400"/>
      <c r="K39" s="400"/>
      <c r="L39" s="400"/>
    </row>
    <row r="40" spans="2:16" ht="16.5" customHeight="1">
      <c r="B40" s="54"/>
      <c r="C40" s="55" t="s">
        <v>275</v>
      </c>
      <c r="D40" s="55"/>
      <c r="E40" s="54"/>
      <c r="F40" s="54"/>
      <c r="G40" s="54"/>
      <c r="H40" s="54" t="s">
        <v>300</v>
      </c>
      <c r="I40" s="54"/>
      <c r="J40" s="54"/>
      <c r="K40" s="54"/>
      <c r="L40" s="54"/>
      <c r="O40" s="45">
        <f>IF(ISERR(FIND(".",船用物料!F7)),船用物料!F7&amp;".0",船用物料!F7)</f>
        <v>1626.4</v>
      </c>
      <c r="P40" s="45">
        <f>IF(ISERR(FIND(".",船用物料!H7)),船用物料!H7&amp;".0",船用物料!H7)</f>
        <v>1626.4</v>
      </c>
    </row>
    <row r="41" spans="2:16" ht="23.25" customHeight="1">
      <c r="O41" s="45">
        <f>IF(ISERR(FIND(".",船用物料!F8)),船用物料!F8&amp;".0",船用物料!F8)</f>
        <v>249.1</v>
      </c>
      <c r="P41" s="45">
        <f>IF(ISERR(FIND(".",船用物料!H8)),船用物料!H8&amp;".0",船用物料!H8)</f>
        <v>245.1</v>
      </c>
    </row>
    <row r="42" spans="2:16">
      <c r="B42" s="18" t="s">
        <v>301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O42" s="45">
        <f>IF(ISERR(FIND(".",船用物料!F9)),船用物料!F9&amp;".0",船用物料!F9)</f>
        <v>47.1</v>
      </c>
      <c r="P42" s="45">
        <f>IF(ISERR(FIND(".",船用物料!H9)),船用物料!H9&amp;".0",船用物料!H9)</f>
        <v>47.1</v>
      </c>
    </row>
    <row r="43" spans="2:16">
      <c r="O43" s="45">
        <f>IF(ISERR(FIND(".",船用物料!F10)),船用物料!F10&amp;".0",船用物料!F10)</f>
        <v>1922.6</v>
      </c>
      <c r="P43" s="45">
        <f>IF(ISERR(FIND(".",船用物料!H10)),船用物料!H10&amp;".0",船用物料!H10)</f>
        <v>1918.6</v>
      </c>
    </row>
  </sheetData>
  <sheetProtection selectLockedCells="1"/>
  <mergeCells count="18">
    <mergeCell ref="C39:L39"/>
    <mergeCell ref="B7:B8"/>
    <mergeCell ref="B10:B12"/>
    <mergeCell ref="B36:B38"/>
    <mergeCell ref="F7:F8"/>
    <mergeCell ref="G7:I8"/>
    <mergeCell ref="C7:E8"/>
    <mergeCell ref="E36:G36"/>
    <mergeCell ref="J36:L36"/>
    <mergeCell ref="E37:G37"/>
    <mergeCell ref="J37:L37"/>
    <mergeCell ref="E38:G38"/>
    <mergeCell ref="J38:L38"/>
    <mergeCell ref="B2:C2"/>
    <mergeCell ref="C10:G10"/>
    <mergeCell ref="H10:L10"/>
    <mergeCell ref="D11:E11"/>
    <mergeCell ref="I11:J11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9</vt:i4>
      </vt:variant>
    </vt:vector>
  </HeadingPairs>
  <TitlesOfParts>
    <vt:vector size="21" baseType="lpstr">
      <vt:lpstr>工作记录</vt:lpstr>
      <vt:lpstr>货物信息</vt:lpstr>
      <vt:lpstr>水尺计算</vt:lpstr>
      <vt:lpstr>船用物料</vt:lpstr>
      <vt:lpstr>汇总数据</vt:lpstr>
      <vt:lpstr>记(1)</vt:lpstr>
      <vt:lpstr>排(2)</vt:lpstr>
      <vt:lpstr>排(1)</vt:lpstr>
      <vt:lpstr>压(1)</vt:lpstr>
      <vt:lpstr>压(2)</vt:lpstr>
      <vt:lpstr>汇(1)</vt:lpstr>
      <vt:lpstr>报(1)</vt:lpstr>
      <vt:lpstr>Difnum</vt:lpstr>
      <vt:lpstr>'汇(1)'!Print_Area</vt:lpstr>
      <vt:lpstr>'记(1)'!Print_Area</vt:lpstr>
      <vt:lpstr>'排(1)'!Print_Area</vt:lpstr>
      <vt:lpstr>'排(2)'!Print_Area</vt:lpstr>
      <vt:lpstr>'压(1)'!Print_Area</vt:lpstr>
      <vt:lpstr>'压(2)'!Print_Area</vt:lpstr>
      <vt:lpstr>报检号</vt:lpstr>
      <vt:lpstr>货物名称</vt:lpstr>
    </vt:vector>
  </TitlesOfParts>
  <Company>HDCIQ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王国循/水尺计重科/化矿处/SDHDCIQ/SDCIQ</dc:creator>
  <cp:lastModifiedBy>孙立中</cp:lastModifiedBy>
  <cp:lastPrinted>2016-07-05T03:45:13Z</cp:lastPrinted>
  <dcterms:created xsi:type="dcterms:W3CDTF">2016-07-17T05:53:41Z</dcterms:created>
  <dcterms:modified xsi:type="dcterms:W3CDTF">2021-05-30T09:48:53Z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526A924FB14981B772C3A9607D1C6C96</vt:lpwstr>
  </property>
</Properties>
</file>