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/>
  <mc:AlternateContent xmlns:mc="http://schemas.openxmlformats.org/markup-compatibility/2006">
    <mc:Choice Requires="x15">
      <x15ac:absPath xmlns:x15ac="http://schemas.microsoft.com/office/spreadsheetml/2010/11/ac" url="/Users/sunlizhong/develop/private/qingdao_cic/output/"/>
    </mc:Choice>
  </mc:AlternateContent>
  <xr:revisionPtr revIDLastSave="0" documentId="13_ncr:8001_{20F4AA94-41ED-7144-BAEF-12606D915A83}" xr6:coauthVersionLast="47" xr6:coauthVersionMax="47" xr10:uidLastSave="{00000000-0000-0000-0000-000000000000}"/>
  <workbookProtection workbookPassword="CC3D" lockStructure="1"/>
  <bookViews>
    <workbookView xWindow="0" yWindow="500" windowWidth="28860" windowHeight="19020" tabRatio="942" xr2:uid="{00000000-000D-0000-FFFF-FFFF00000000}"/>
  </bookViews>
  <sheets>
    <sheet name="工作记录单" sheetId="1" r:id="rId1"/>
    <sheet name="水尺计算初次" sheetId="2" r:id="rId2"/>
    <sheet name="水尺计算末次" sheetId="3" r:id="rId3"/>
    <sheet name="压载水" sheetId="4" r:id="rId4"/>
    <sheet name="水尺报告" sheetId="5" r:id="rId5"/>
    <sheet name="计算用，请勿动！" sheetId="6" state="hidden" r:id="rId6"/>
    <sheet name="使用说明" sheetId="7" r:id="rId7"/>
  </sheets>
  <definedNames>
    <definedName name="_xlnm.Print_Area" localSheetId="0">工作记录单!$A$1:$R$43</definedName>
    <definedName name="_xlnm.Print_Area" localSheetId="4">水尺报告!$A$1:$J$34</definedName>
    <definedName name="_xlnm.Print_Area" localSheetId="1">水尺计算初次!$A$1:$Z$38</definedName>
    <definedName name="_xlnm.Print_Area" localSheetId="2">水尺计算末次!$A$1:$Z$38</definedName>
    <definedName name="_xlnm.Print_Area" localSheetId="3">压载水!$A$1:$M$43</definedName>
  </definedNames>
  <calcPr calcId="191029" fullPrecision="0"/>
</workbook>
</file>

<file path=xl/calcChain.xml><?xml version="1.0" encoding="utf-8"?>
<calcChain xmlns="http://schemas.openxmlformats.org/spreadsheetml/2006/main">
  <c r="I27" i="5" l="1"/>
  <c r="G27" i="5"/>
  <c r="G24" i="5"/>
  <c r="I10" i="5"/>
  <c r="G10" i="5"/>
  <c r="I9" i="5"/>
  <c r="G9" i="5"/>
  <c r="J7" i="5"/>
  <c r="J6" i="5"/>
  <c r="K99" i="4"/>
  <c r="M96" i="4"/>
  <c r="G96" i="4"/>
  <c r="M95" i="4"/>
  <c r="H95" i="4"/>
  <c r="G95" i="4"/>
  <c r="M94" i="4"/>
  <c r="M97" i="4" s="1"/>
  <c r="H94" i="4"/>
  <c r="G94" i="4"/>
  <c r="G97" i="4" s="1"/>
  <c r="L92" i="4"/>
  <c r="H92" i="4"/>
  <c r="G92" i="4"/>
  <c r="L91" i="4"/>
  <c r="H91" i="4"/>
  <c r="G91" i="4"/>
  <c r="L90" i="4"/>
  <c r="H90" i="4"/>
  <c r="G90" i="4"/>
  <c r="L89" i="4"/>
  <c r="H89" i="4"/>
  <c r="G89" i="4"/>
  <c r="L88" i="4"/>
  <c r="H88" i="4"/>
  <c r="G88" i="4"/>
  <c r="L87" i="4"/>
  <c r="H87" i="4"/>
  <c r="G87" i="4"/>
  <c r="L86" i="4"/>
  <c r="H86" i="4"/>
  <c r="G86" i="4"/>
  <c r="L85" i="4"/>
  <c r="H85" i="4"/>
  <c r="G85" i="4"/>
  <c r="L84" i="4"/>
  <c r="H84" i="4"/>
  <c r="G84" i="4"/>
  <c r="L83" i="4"/>
  <c r="H83" i="4"/>
  <c r="G83" i="4"/>
  <c r="L82" i="4"/>
  <c r="H82" i="4"/>
  <c r="G82" i="4"/>
  <c r="L81" i="4"/>
  <c r="H81" i="4"/>
  <c r="G81" i="4"/>
  <c r="L80" i="4"/>
  <c r="H80" i="4"/>
  <c r="G80" i="4"/>
  <c r="L79" i="4"/>
  <c r="H79" i="4"/>
  <c r="G79" i="4"/>
  <c r="L78" i="4"/>
  <c r="H78" i="4"/>
  <c r="G78" i="4"/>
  <c r="L77" i="4"/>
  <c r="H77" i="4"/>
  <c r="G77" i="4"/>
  <c r="L76" i="4"/>
  <c r="H76" i="4"/>
  <c r="G76" i="4"/>
  <c r="L75" i="4"/>
  <c r="H75" i="4"/>
  <c r="G75" i="4"/>
  <c r="L74" i="4"/>
  <c r="H74" i="4"/>
  <c r="G74" i="4"/>
  <c r="L73" i="4"/>
  <c r="H73" i="4"/>
  <c r="G73" i="4"/>
  <c r="L72" i="4"/>
  <c r="H72" i="4"/>
  <c r="G72" i="4"/>
  <c r="L71" i="4"/>
  <c r="H71" i="4"/>
  <c r="G71" i="4"/>
  <c r="L70" i="4"/>
  <c r="H70" i="4"/>
  <c r="G70" i="4"/>
  <c r="L69" i="4"/>
  <c r="H69" i="4"/>
  <c r="G69" i="4"/>
  <c r="M68" i="4"/>
  <c r="M93" i="4" s="1"/>
  <c r="H99" i="4" s="1"/>
  <c r="L68" i="4"/>
  <c r="H68" i="4"/>
  <c r="G68" i="4"/>
  <c r="G93" i="4" s="1"/>
  <c r="B99" i="4" s="1"/>
  <c r="C64" i="4"/>
  <c r="K42" i="4"/>
  <c r="M40" i="4"/>
  <c r="G40" i="4"/>
  <c r="E42" i="4" s="1"/>
  <c r="H38" i="4"/>
  <c r="H37" i="4"/>
  <c r="M30" i="4"/>
  <c r="L30" i="4"/>
  <c r="H30" i="4"/>
  <c r="G30" i="4"/>
  <c r="M29" i="4"/>
  <c r="L29" i="4"/>
  <c r="H29" i="4"/>
  <c r="G29" i="4"/>
  <c r="M28" i="4"/>
  <c r="L28" i="4"/>
  <c r="H28" i="4"/>
  <c r="G28" i="4"/>
  <c r="M27" i="4"/>
  <c r="L27" i="4"/>
  <c r="H27" i="4"/>
  <c r="G27" i="4"/>
  <c r="M26" i="4"/>
  <c r="L26" i="4"/>
  <c r="H26" i="4"/>
  <c r="G26" i="4"/>
  <c r="M25" i="4"/>
  <c r="L25" i="4"/>
  <c r="H25" i="4"/>
  <c r="G25" i="4"/>
  <c r="M24" i="4"/>
  <c r="L24" i="4"/>
  <c r="H24" i="4"/>
  <c r="G24" i="4"/>
  <c r="M23" i="4"/>
  <c r="L23" i="4"/>
  <c r="H23" i="4"/>
  <c r="G23" i="4"/>
  <c r="M22" i="4"/>
  <c r="L22" i="4"/>
  <c r="H22" i="4"/>
  <c r="G22" i="4"/>
  <c r="M21" i="4"/>
  <c r="L21" i="4"/>
  <c r="H21" i="4"/>
  <c r="G21" i="4"/>
  <c r="M20" i="4"/>
  <c r="L20" i="4"/>
  <c r="H20" i="4"/>
  <c r="G20" i="4"/>
  <c r="M19" i="4"/>
  <c r="L19" i="4"/>
  <c r="H19" i="4"/>
  <c r="G19" i="4"/>
  <c r="M18" i="4"/>
  <c r="L18" i="4"/>
  <c r="H18" i="4"/>
  <c r="G18" i="4"/>
  <c r="M17" i="4"/>
  <c r="L17" i="4"/>
  <c r="H17" i="4"/>
  <c r="G17" i="4"/>
  <c r="M16" i="4"/>
  <c r="L16" i="4"/>
  <c r="H16" i="4"/>
  <c r="G16" i="4"/>
  <c r="M15" i="4"/>
  <c r="L15" i="4"/>
  <c r="H15" i="4"/>
  <c r="G15" i="4"/>
  <c r="M14" i="4"/>
  <c r="L14" i="4"/>
  <c r="H14" i="4"/>
  <c r="G14" i="4"/>
  <c r="M13" i="4"/>
  <c r="L13" i="4"/>
  <c r="H13" i="4"/>
  <c r="G13" i="4"/>
  <c r="M12" i="4"/>
  <c r="L12" i="4"/>
  <c r="H12" i="4"/>
  <c r="G12" i="4"/>
  <c r="M11" i="4"/>
  <c r="M36" i="4" s="1"/>
  <c r="H42" i="4" s="1"/>
  <c r="L11" i="4"/>
  <c r="H11" i="4"/>
  <c r="G11" i="4"/>
  <c r="G36" i="4" s="1"/>
  <c r="M7" i="4"/>
  <c r="M64" i="4" s="1"/>
  <c r="C7" i="4"/>
  <c r="M6" i="4"/>
  <c r="M63" i="4" s="1"/>
  <c r="T34" i="3"/>
  <c r="D34" i="3"/>
  <c r="AE29" i="3"/>
  <c r="AE28" i="3"/>
  <c r="T28" i="3"/>
  <c r="H16" i="6" s="1"/>
  <c r="L28" i="3"/>
  <c r="I25" i="5" s="1"/>
  <c r="AE27" i="3"/>
  <c r="AE21" i="3"/>
  <c r="T21" i="3"/>
  <c r="AC20" i="3"/>
  <c r="H14" i="3"/>
  <c r="C14" i="3"/>
  <c r="AC13" i="3" s="1"/>
  <c r="AE13" i="3"/>
  <c r="S11" i="3"/>
  <c r="C13" i="3" s="1"/>
  <c r="S10" i="3"/>
  <c r="S9" i="3"/>
  <c r="T6" i="3"/>
  <c r="N6" i="3"/>
  <c r="H6" i="3"/>
  <c r="B6" i="3"/>
  <c r="W5" i="3"/>
  <c r="V5" i="3"/>
  <c r="U5" i="3"/>
  <c r="T5" i="3"/>
  <c r="S5" i="3"/>
  <c r="AB34" i="2"/>
  <c r="T34" i="2"/>
  <c r="L34" i="2"/>
  <c r="AB33" i="2"/>
  <c r="AB32" i="2"/>
  <c r="AB31" i="2"/>
  <c r="T28" i="2"/>
  <c r="B16" i="6" s="1"/>
  <c r="AE21" i="2"/>
  <c r="T21" i="2"/>
  <c r="AE13" i="2"/>
  <c r="AD13" i="2"/>
  <c r="AC13" i="2"/>
  <c r="S11" i="2"/>
  <c r="C13" i="2" s="1"/>
  <c r="S10" i="2"/>
  <c r="S9" i="2"/>
  <c r="T6" i="2"/>
  <c r="N6" i="2"/>
  <c r="H6" i="5" s="1"/>
  <c r="H6" i="2"/>
  <c r="E6" i="5" s="1"/>
  <c r="B6" i="2"/>
  <c r="B6" i="5" s="1"/>
  <c r="W5" i="2"/>
  <c r="V5" i="2"/>
  <c r="U5" i="2"/>
  <c r="T5" i="2"/>
  <c r="S5" i="2"/>
  <c r="T3" i="2"/>
  <c r="J4" i="5" s="1"/>
  <c r="Q10" i="1"/>
  <c r="P10" i="1"/>
  <c r="O10" i="1"/>
  <c r="N10" i="1"/>
  <c r="K10" i="1"/>
  <c r="J10" i="1"/>
  <c r="I10" i="1"/>
  <c r="H10" i="1"/>
  <c r="T8" i="1"/>
  <c r="N7" i="1"/>
  <c r="AJ16" i="2" l="1"/>
  <c r="L16" i="2" s="1"/>
  <c r="AJ15" i="2"/>
  <c r="L15" i="2" s="1"/>
  <c r="S15" i="2" s="1"/>
  <c r="A5" i="6"/>
  <c r="B5" i="6" s="1"/>
  <c r="A3" i="6"/>
  <c r="B3" i="6" s="1"/>
  <c r="AJ17" i="2"/>
  <c r="L17" i="2" s="1"/>
  <c r="S17" i="2" s="1"/>
  <c r="A4" i="6"/>
  <c r="B4" i="6" s="1"/>
  <c r="AJ15" i="3"/>
  <c r="L15" i="3" s="1"/>
  <c r="S15" i="3" s="1"/>
  <c r="G5" i="6"/>
  <c r="H5" i="6" s="1"/>
  <c r="G3" i="6"/>
  <c r="H3" i="6" s="1"/>
  <c r="AJ17" i="3"/>
  <c r="L17" i="3" s="1"/>
  <c r="S17" i="3" s="1"/>
  <c r="G4" i="6"/>
  <c r="H4" i="6" s="1"/>
  <c r="AJ16" i="3"/>
  <c r="L16" i="3" s="1"/>
  <c r="S16" i="3" s="1"/>
  <c r="L28" i="2"/>
  <c r="E99" i="4"/>
  <c r="B42" i="4"/>
  <c r="A15" i="6" s="1"/>
  <c r="B15" i="6" s="1"/>
  <c r="G15" i="6"/>
  <c r="H15" i="6" s="1"/>
  <c r="D28" i="3"/>
  <c r="AD13" i="3"/>
  <c r="T3" i="3"/>
  <c r="H17" i="6"/>
  <c r="I24" i="5"/>
  <c r="L3" i="4"/>
  <c r="L60" i="4" s="1"/>
  <c r="AC15" i="3" l="1"/>
  <c r="AB24" i="3"/>
  <c r="G13" i="5"/>
  <c r="AJ18" i="2"/>
  <c r="L18" i="2" s="1"/>
  <c r="A6" i="6"/>
  <c r="B6" i="6" s="1"/>
  <c r="AC24" i="2" s="1"/>
  <c r="C18" i="2"/>
  <c r="G14" i="5"/>
  <c r="I26" i="5"/>
  <c r="T30" i="3"/>
  <c r="I28" i="5" s="1"/>
  <c r="G25" i="5"/>
  <c r="B17" i="6"/>
  <c r="B18" i="6" s="1"/>
  <c r="H18" i="6"/>
  <c r="G16" i="5"/>
  <c r="G15" i="5"/>
  <c r="I16" i="5"/>
  <c r="I15" i="5"/>
  <c r="D28" i="2"/>
  <c r="S16" i="2"/>
  <c r="C18" i="3"/>
  <c r="I14" i="5"/>
  <c r="G6" i="6"/>
  <c r="H6" i="6" s="1"/>
  <c r="AC24" i="3" s="1"/>
  <c r="I13" i="5"/>
  <c r="AJ18" i="3"/>
  <c r="L18" i="3" s="1"/>
  <c r="AC19" i="3" l="1"/>
  <c r="AE19" i="3" s="1"/>
  <c r="G9" i="6" s="1"/>
  <c r="H9" i="6" s="1"/>
  <c r="I17" i="5"/>
  <c r="E66" i="4"/>
  <c r="E9" i="4"/>
  <c r="A11" i="6"/>
  <c r="B11" i="6" s="1"/>
  <c r="T23" i="2" s="1"/>
  <c r="A10" i="6"/>
  <c r="B10" i="6" s="1"/>
  <c r="T22" i="2" s="1"/>
  <c r="G20" i="5" s="1"/>
  <c r="G11" i="6"/>
  <c r="H11" i="6" s="1"/>
  <c r="T23" i="3" s="1"/>
  <c r="G10" i="6"/>
  <c r="H10" i="6" s="1"/>
  <c r="T22" i="3" s="1"/>
  <c r="K66" i="4"/>
  <c r="K9" i="4"/>
  <c r="G17" i="5"/>
  <c r="AC19" i="2"/>
  <c r="AE19" i="2" s="1"/>
  <c r="A9" i="6" s="1"/>
  <c r="B9" i="6" s="1"/>
  <c r="G7" i="6"/>
  <c r="H7" i="6" s="1"/>
  <c r="AD24" i="3" s="1"/>
  <c r="G8" i="6"/>
  <c r="H8" i="6" s="1"/>
  <c r="AB24" i="2"/>
  <c r="AC15" i="2"/>
  <c r="G26" i="5"/>
  <c r="T30" i="2"/>
  <c r="G28" i="5" s="1"/>
  <c r="I20" i="5" l="1"/>
  <c r="A7" i="6"/>
  <c r="B7" i="6" s="1"/>
  <c r="AD24" i="2" s="1"/>
  <c r="A8" i="6" s="1"/>
  <c r="B8" i="6" s="1"/>
  <c r="A12" i="6"/>
  <c r="B12" i="6" s="1"/>
  <c r="T20" i="2"/>
  <c r="G19" i="5" s="1"/>
  <c r="T20" i="3"/>
  <c r="I19" i="5" s="1"/>
  <c r="G12" i="6"/>
  <c r="H12" i="6" s="1"/>
  <c r="T24" i="3" l="1"/>
  <c r="G14" i="6"/>
  <c r="H14" i="6" s="1"/>
  <c r="T24" i="2"/>
  <c r="A14" i="6"/>
  <c r="B14" i="6" s="1"/>
  <c r="H13" i="6" l="1"/>
  <c r="T25" i="3" s="1"/>
  <c r="I21" i="5" s="1"/>
  <c r="T26" i="3"/>
  <c r="H19" i="6"/>
  <c r="B19" i="6"/>
  <c r="D20" i="6" s="1"/>
  <c r="F20" i="6" s="1"/>
  <c r="T32" i="3" s="1"/>
  <c r="B13" i="6"/>
  <c r="T25" i="2" s="1"/>
  <c r="G21" i="5" s="1"/>
  <c r="T26" i="2"/>
  <c r="G22" i="5" l="1"/>
  <c r="T31" i="2"/>
  <c r="AD32" i="2" s="1"/>
  <c r="AD33" i="2" s="1"/>
  <c r="AD34" i="2" s="1"/>
  <c r="T31" i="3"/>
  <c r="L34" i="3" s="1"/>
  <c r="I22" i="5"/>
  <c r="B28" i="1"/>
  <c r="G30" i="5"/>
</calcChain>
</file>

<file path=xl/sharedStrings.xml><?xml version="1.0" encoding="utf-8"?>
<sst xmlns="http://schemas.openxmlformats.org/spreadsheetml/2006/main" count="485" uniqueCount="310">
  <si>
    <t>中国检验认证集团山东有限公司</t>
  </si>
  <si>
    <t xml:space="preserve">CCIC-SD-TRD(13)-01-04-2017     </t>
  </si>
  <si>
    <t>CHINA CERTIFICATION &amp; INSPECTION GROUP SHANDONG CO., LTD</t>
  </si>
  <si>
    <r>
      <rPr>
        <sz val="12"/>
        <rFont val="Times New Roman"/>
        <family val="1"/>
      </rPr>
      <t xml:space="preserve">2019.8.20 </t>
    </r>
    <r>
      <rPr>
        <sz val="12"/>
        <rFont val="楷体_GB2312"/>
        <charset val="134"/>
      </rPr>
      <t>版本</t>
    </r>
    <r>
      <rPr>
        <sz val="12"/>
        <rFont val="Times New Roman"/>
        <family val="1"/>
      </rPr>
      <t>V1.1</t>
    </r>
    <r>
      <rPr>
        <sz val="12"/>
        <rFont val="楷体_GB2312"/>
        <charset val="134"/>
      </rPr>
      <t>,密码</t>
    </r>
    <r>
      <rPr>
        <sz val="12"/>
        <rFont val="Times New Roman"/>
        <family val="1"/>
      </rPr>
      <t>1234</t>
    </r>
  </si>
  <si>
    <t>水尺计重工作记录单</t>
  </si>
  <si>
    <t>编号:</t>
  </si>
  <si>
    <t>32110202104000114</t>
  </si>
  <si>
    <t>卸货</t>
  </si>
  <si>
    <t>船  名</t>
  </si>
  <si>
    <t>货 物</t>
  </si>
  <si>
    <t>铁矿</t>
  </si>
  <si>
    <t>提单重量</t>
  </si>
  <si>
    <t>港口</t>
  </si>
  <si>
    <t>董家口</t>
  </si>
  <si>
    <t>航  次</t>
  </si>
  <si>
    <t>船 籍</t>
  </si>
  <si>
    <t>船 龄</t>
  </si>
  <si>
    <t>船舶代理公司 /人员 /电话</t>
  </si>
  <si>
    <t>/</t>
  </si>
  <si>
    <t>1、如果外贸需要打印水尺报告,"货物"和"港口"都要用英文</t>
  </si>
  <si>
    <t>时  间</t>
  </si>
  <si>
    <t>抵港</t>
  </si>
  <si>
    <t>靠泊</t>
  </si>
  <si>
    <t>2、测深器具及水密量具各公司自行更改</t>
  </si>
  <si>
    <t>工作人员</t>
  </si>
  <si>
    <t>首 次</t>
  </si>
  <si>
    <t>末 次</t>
  </si>
  <si>
    <t>工作时间</t>
  </si>
  <si>
    <t>工作地点</t>
  </si>
  <si>
    <t>天气情况</t>
  </si>
  <si>
    <t>晴，微浪</t>
  </si>
  <si>
    <r>
      <rPr>
        <sz val="12"/>
        <rFont val="宋体"/>
        <family val="3"/>
        <charset val="134"/>
      </rPr>
      <t>船舱计量表检定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单位/编号</t>
    </r>
    <r>
      <rPr>
        <sz val="12"/>
        <rFont val="宋体"/>
        <family val="3"/>
        <charset val="134"/>
      </rPr>
      <t>/日期</t>
    </r>
  </si>
  <si>
    <t>测深器具</t>
  </si>
  <si>
    <r>
      <rPr>
        <sz val="14"/>
        <rFont val="Wingdings"/>
        <charset val="2"/>
      </rPr>
      <t>þ</t>
    </r>
    <r>
      <rPr>
        <sz val="12"/>
        <rFont val="宋体"/>
        <family val="3"/>
        <charset val="134"/>
      </rPr>
      <t>自带</t>
    </r>
  </si>
  <si>
    <t>编   号</t>
  </si>
  <si>
    <t>HD-L-17</t>
  </si>
  <si>
    <t>检定编号</t>
  </si>
  <si>
    <t>210066CD02</t>
  </si>
  <si>
    <t>□船方</t>
  </si>
  <si>
    <t>水密量具</t>
  </si>
  <si>
    <t>2020E41-20-2537607002</t>
  </si>
  <si>
    <t>检验依据</t>
  </si>
  <si>
    <r>
      <rPr>
        <sz val="14"/>
        <rFont val="Wingdings"/>
        <charset val="2"/>
      </rPr>
      <t>þ</t>
    </r>
    <r>
      <rPr>
        <sz val="12"/>
        <rFont val="宋体"/>
        <family val="3"/>
        <charset val="134"/>
      </rPr>
      <t>CCIC-SD-WI-13-04水尺计重作业指导书</t>
    </r>
  </si>
  <si>
    <r>
      <t>þ</t>
    </r>
    <r>
      <rPr>
        <sz val="12"/>
        <rFont val="宋体"/>
        <family val="3"/>
        <charset val="134"/>
      </rPr>
      <t>SN/T 3023.2进出口商品重量鉴定规程 第2部分：水尺计重</t>
    </r>
  </si>
  <si>
    <t>备注：</t>
  </si>
  <si>
    <t>单据外备注信息：</t>
  </si>
  <si>
    <t>是否报检，单据提交日期，过磅数、抵港数等相关信息可记录于此。</t>
  </si>
  <si>
    <t>鉴定人：                             复核人：</t>
  </si>
  <si>
    <t xml:space="preserve">中国检验认证集团山东有限公司                    </t>
  </si>
  <si>
    <t xml:space="preserve">     CCIC-SD-TRD(13)-03-04-2017   </t>
  </si>
  <si>
    <t>水尺计重排水量计算单</t>
  </si>
  <si>
    <t>右边可以做一些标记</t>
  </si>
  <si>
    <t>前</t>
  </si>
  <si>
    <t>后</t>
  </si>
  <si>
    <t>船首尾修正查表时：</t>
  </si>
  <si>
    <t xml:space="preserve"> 船名：</t>
  </si>
  <si>
    <t xml:space="preserve"> 港口：</t>
  </si>
  <si>
    <t xml:space="preserve"> 货物：</t>
  </si>
  <si>
    <t xml:space="preserve"> 日期：</t>
  </si>
  <si>
    <t>水尺标记线在垂线后计为负</t>
  </si>
  <si>
    <t>&amp;</t>
  </si>
  <si>
    <t>水尺标记线在垂线前计为正</t>
  </si>
  <si>
    <t xml:space="preserve"> 船艏左</t>
  </si>
  <si>
    <t>D12</t>
  </si>
  <si>
    <t xml:space="preserve"> 船艏右</t>
  </si>
  <si>
    <t>D13</t>
  </si>
  <si>
    <t xml:space="preserve"> 船艏平均</t>
  </si>
  <si>
    <t xml:space="preserve"> 船舯左</t>
  </si>
  <si>
    <t>D15</t>
  </si>
  <si>
    <t xml:space="preserve"> 船舯右</t>
  </si>
  <si>
    <t>D16</t>
  </si>
  <si>
    <t xml:space="preserve"> 船舯平均</t>
  </si>
  <si>
    <t xml:space="preserve"> 船艉左</t>
  </si>
  <si>
    <t>D18</t>
  </si>
  <si>
    <t xml:space="preserve"> 船艉右</t>
  </si>
  <si>
    <t>D19</t>
  </si>
  <si>
    <t xml:space="preserve"> 船艉平均</t>
  </si>
  <si>
    <t>上限：</t>
  </si>
  <si>
    <t>正常拱垂值</t>
  </si>
  <si>
    <t>极限拱垂值</t>
  </si>
  <si>
    <t>危险拱垂值</t>
  </si>
  <si>
    <t xml:space="preserve"> Trim1</t>
  </si>
  <si>
    <t xml:space="preserve">Draft Corr.= </t>
  </si>
  <si>
    <t>Trim1 * dF, dA, dM</t>
  </si>
  <si>
    <t xml:space="preserve"> LBP</t>
  </si>
  <si>
    <t>D5</t>
  </si>
  <si>
    <t xml:space="preserve"> 型宽</t>
  </si>
  <si>
    <t>\</t>
  </si>
  <si>
    <t>LBP - (dF + dA )</t>
  </si>
  <si>
    <t>原始修正值</t>
  </si>
  <si>
    <t xml:space="preserve"> dF</t>
  </si>
  <si>
    <t>D23</t>
  </si>
  <si>
    <t xml:space="preserve"> 船艏校正值</t>
  </si>
  <si>
    <t xml:space="preserve"> 船艏校正后</t>
  </si>
  <si>
    <t>拱垂值：</t>
  </si>
  <si>
    <t>（+为中垂，-为中拱）</t>
  </si>
  <si>
    <t>艏校正值(m)</t>
  </si>
  <si>
    <t xml:space="preserve"> dM</t>
  </si>
  <si>
    <t>D24</t>
  </si>
  <si>
    <t xml:space="preserve"> 船舯校正值</t>
  </si>
  <si>
    <t xml:space="preserve"> 船舯校正后</t>
  </si>
  <si>
    <t>舯校正值(m)</t>
  </si>
  <si>
    <t xml:space="preserve"> dA</t>
  </si>
  <si>
    <t>D25</t>
  </si>
  <si>
    <t xml:space="preserve"> 船艉校正值</t>
  </si>
  <si>
    <t xml:space="preserve"> 船艉校正后</t>
  </si>
  <si>
    <t>艉校正值(m)</t>
  </si>
  <si>
    <t xml:space="preserve"> Trim2</t>
  </si>
  <si>
    <t xml:space="preserve"> 拱陷校正后水尺</t>
  </si>
  <si>
    <t>查表水尺：</t>
  </si>
  <si>
    <t>D40</t>
  </si>
  <si>
    <t>查表排水量：</t>
  </si>
  <si>
    <t>D41</t>
  </si>
  <si>
    <t>拱陷修正后水尺</t>
  </si>
  <si>
    <t>差额水尺：</t>
  </si>
  <si>
    <t>相应排水量：</t>
  </si>
  <si>
    <t xml:space="preserve"> 相应排水量</t>
  </si>
  <si>
    <t>龙骨厚度：</t>
  </si>
  <si>
    <t>(仅在观测水尺与查表水尺不一致时输入)</t>
  </si>
  <si>
    <t xml:space="preserve"> TPC</t>
  </si>
  <si>
    <t>D42</t>
  </si>
  <si>
    <t xml:space="preserve"> LCF</t>
  </si>
  <si>
    <t>D43</t>
  </si>
  <si>
    <t xml:space="preserve"> MTC1</t>
  </si>
  <si>
    <t>D44</t>
  </si>
  <si>
    <t xml:space="preserve"> MTC2</t>
  </si>
  <si>
    <t>D45</t>
  </si>
  <si>
    <t xml:space="preserve">  Dm/Dz</t>
  </si>
  <si>
    <t>LCA=</t>
  </si>
  <si>
    <t>LCF=</t>
  </si>
  <si>
    <t>转换</t>
  </si>
  <si>
    <t xml:space="preserve"> Corr.1 = 100 * Trim2 * TPC * LCF / LBP</t>
  </si>
  <si>
    <t xml:space="preserve"> 一次修正</t>
  </si>
  <si>
    <t xml:space="preserve"> Corr.2 = 50 * Trim2 * Trim2 * Dm/Dz/LBP</t>
  </si>
  <si>
    <t xml:space="preserve"> 二次修正</t>
  </si>
  <si>
    <t>船舯
平均吃水</t>
  </si>
  <si>
    <t>艏艉
平均吃水</t>
  </si>
  <si>
    <t>六面
平均吃水</t>
  </si>
  <si>
    <t>纵倾修正后排水量</t>
  </si>
  <si>
    <t xml:space="preserve"> 表载密度</t>
  </si>
  <si>
    <t>港水密度</t>
  </si>
  <si>
    <t>D39</t>
  </si>
  <si>
    <t xml:space="preserve"> 港水密度修正量</t>
  </si>
  <si>
    <r>
      <rPr>
        <sz val="10.5"/>
        <rFont val="宋体"/>
        <family val="3"/>
        <charset val="134"/>
      </rPr>
      <t>港水密度修正后排水量(</t>
    </r>
    <r>
      <rPr>
        <sz val="10.5"/>
        <rFont val="Times New Roman"/>
        <family val="1"/>
      </rPr>
      <t>A</t>
    </r>
    <r>
      <rPr>
        <sz val="10.5"/>
        <rFont val="宋体"/>
        <family val="3"/>
        <charset val="134"/>
      </rPr>
      <t>)</t>
    </r>
  </si>
  <si>
    <t>重油：</t>
  </si>
  <si>
    <r>
      <t>[</t>
    </r>
    <r>
      <rPr>
        <sz val="10"/>
        <rFont val="方正书宋_GBK"/>
        <charset val="134"/>
      </rPr>
      <t>船用物料</t>
    </r>
    <r>
      <rPr>
        <sz val="10"/>
        <rFont val="Times New Roman"/>
        <family val="1"/>
      </rPr>
      <t>]F7</t>
    </r>
  </si>
  <si>
    <r>
      <rPr>
        <sz val="12"/>
        <rFont val="宋体"/>
        <family val="3"/>
        <charset val="134"/>
      </rPr>
      <t>M</t>
    </r>
    <r>
      <rPr>
        <sz val="12"/>
        <rFont val="宋体"/>
        <family val="3"/>
        <charset val="134"/>
      </rPr>
      <t>T</t>
    </r>
  </si>
  <si>
    <t xml:space="preserve"> 压载水</t>
  </si>
  <si>
    <t xml:space="preserve"> 淡水</t>
  </si>
  <si>
    <t xml:space="preserve"> 燃油</t>
  </si>
  <si>
    <t>轻油：</t>
  </si>
  <si>
    <r>
      <t>[</t>
    </r>
    <r>
      <rPr>
        <sz val="10"/>
        <rFont val="方正书宋_GBK"/>
        <charset val="134"/>
      </rPr>
      <t>船用物料</t>
    </r>
    <r>
      <rPr>
        <sz val="10"/>
        <rFont val="Times New Roman"/>
        <family val="1"/>
      </rPr>
      <t>]F8</t>
    </r>
  </si>
  <si>
    <t xml:space="preserve"> 其它货物</t>
  </si>
  <si>
    <t>写0，不要/</t>
  </si>
  <si>
    <t>滑油：</t>
  </si>
  <si>
    <r>
      <t>[</t>
    </r>
    <r>
      <rPr>
        <sz val="10"/>
        <rFont val="方正书宋_GBK"/>
        <charset val="134"/>
      </rPr>
      <t>船用物料</t>
    </r>
    <r>
      <rPr>
        <sz val="10"/>
        <rFont val="Times New Roman"/>
        <family val="1"/>
      </rPr>
      <t>]F9</t>
    </r>
  </si>
  <si>
    <r>
      <rPr>
        <sz val="10.5"/>
        <rFont val="宋体"/>
        <family val="3"/>
        <charset val="134"/>
      </rPr>
      <t xml:space="preserve"> 物料总和(</t>
    </r>
    <r>
      <rPr>
        <sz val="10.5"/>
        <rFont val="Times New Roman"/>
        <family val="1"/>
      </rPr>
      <t>B</t>
    </r>
    <r>
      <rPr>
        <sz val="10.5"/>
        <rFont val="宋体"/>
        <family val="3"/>
        <charset val="134"/>
      </rPr>
      <t>)</t>
    </r>
  </si>
  <si>
    <t xml:space="preserve"> A - B =</t>
  </si>
  <si>
    <t>D8</t>
  </si>
  <si>
    <t>装货不需要</t>
  </si>
  <si>
    <t>货物重量</t>
  </si>
  <si>
    <t>/  MT</t>
  </si>
  <si>
    <t xml:space="preserve"> 空船重量</t>
  </si>
  <si>
    <t>D7</t>
  </si>
  <si>
    <t xml:space="preserve"> 船舶常数</t>
  </si>
  <si>
    <t>MT</t>
  </si>
  <si>
    <t xml:space="preserve"> 提单数量</t>
  </si>
  <si>
    <t>备 注:</t>
  </si>
  <si>
    <t xml:space="preserve">  /</t>
  </si>
  <si>
    <t xml:space="preserve">         鉴定人：                           复核人：</t>
  </si>
  <si>
    <t>来源，水尺计算</t>
  </si>
  <si>
    <t>（仅在观测水尺与查表水尺不一致时输入）</t>
  </si>
  <si>
    <r>
      <rPr>
        <sz val="10"/>
        <rFont val="宋体"/>
        <family val="3"/>
        <charset val="134"/>
      </rPr>
      <t>船舯
平均吃水</t>
    </r>
  </si>
  <si>
    <r>
      <rPr>
        <sz val="10"/>
        <rFont val="宋体"/>
        <family val="3"/>
        <charset val="134"/>
      </rPr>
      <t>艏艉
平均吃水</t>
    </r>
  </si>
  <si>
    <r>
      <rPr>
        <sz val="10"/>
        <rFont val="宋体"/>
        <family val="3"/>
        <charset val="134"/>
      </rPr>
      <t>六面
平均吃水</t>
    </r>
  </si>
  <si>
    <t>首次油数</t>
  </si>
  <si>
    <t>Hxxx</t>
  </si>
  <si>
    <t>Hx</t>
  </si>
  <si>
    <t xml:space="preserve">中国检验认证集团山东有限公司  </t>
  </si>
  <si>
    <t xml:space="preserve"> CCIC-SD-TRD(13)-05-04-2017</t>
  </si>
  <si>
    <r>
      <rPr>
        <b/>
        <sz val="10.5"/>
        <rFont val="Times New Roman"/>
        <family val="1"/>
      </rPr>
      <t xml:space="preserve">                                                        </t>
    </r>
    <r>
      <rPr>
        <b/>
        <sz val="12"/>
        <rFont val="Times New Roman"/>
        <family val="1"/>
      </rPr>
      <t xml:space="preserve"> </t>
    </r>
    <r>
      <rPr>
        <b/>
        <sz val="12"/>
        <rFont val="宋体"/>
        <family val="3"/>
        <charset val="134"/>
      </rPr>
      <t>编号</t>
    </r>
    <r>
      <rPr>
        <b/>
        <sz val="12"/>
        <rFont val="Times New Roman"/>
        <family val="1"/>
      </rPr>
      <t xml:space="preserve">: </t>
    </r>
  </si>
  <si>
    <t xml:space="preserve"> 编号: </t>
  </si>
  <si>
    <t>水尺计重水油舱测量计算单</t>
  </si>
  <si>
    <t>首次鉴定日期:</t>
  </si>
  <si>
    <t>船名：</t>
  </si>
  <si>
    <t>末次鉴定日期:</t>
  </si>
  <si>
    <t>舱号</t>
  </si>
  <si>
    <t>首次测量结果</t>
  </si>
  <si>
    <t>末次测量结果</t>
  </si>
  <si>
    <t>吃水差：</t>
  </si>
  <si>
    <r>
      <rPr>
        <sz val="8"/>
        <rFont val="宋体"/>
        <family val="3"/>
        <charset val="134"/>
      </rPr>
      <t>测量管 高度</t>
    </r>
    <r>
      <rPr>
        <sz val="8"/>
        <rFont val="Times New Roman"/>
        <family val="1"/>
      </rPr>
      <t>(M)</t>
    </r>
  </si>
  <si>
    <r>
      <rPr>
        <sz val="8"/>
        <rFont val="宋体"/>
        <family val="3"/>
        <charset val="134"/>
      </rPr>
      <t>实测水深</t>
    </r>
    <r>
      <rPr>
        <sz val="8"/>
        <rFont val="Times New Roman"/>
        <family val="1"/>
      </rPr>
      <t>(M)</t>
    </r>
  </si>
  <si>
    <r>
      <rPr>
        <sz val="8"/>
        <rFont val="宋体"/>
        <family val="3"/>
        <charset val="134"/>
      </rPr>
      <t>校正后 水深</t>
    </r>
    <r>
      <rPr>
        <sz val="8"/>
        <rFont val="Times New Roman"/>
        <family val="1"/>
      </rPr>
      <t>(M)</t>
    </r>
  </si>
  <si>
    <t>容量(M3)</t>
  </si>
  <si>
    <t>密度(kg/L)</t>
  </si>
  <si>
    <t>重量(Tons)</t>
  </si>
  <si>
    <t>校正后 水深(M)</t>
  </si>
  <si>
    <t>FPT</t>
  </si>
  <si>
    <t>D20:F58</t>
  </si>
  <si>
    <t>等于左边的实测水深</t>
  </si>
  <si>
    <t>等与F列</t>
  </si>
  <si>
    <r>
      <t>默认</t>
    </r>
    <r>
      <rPr>
        <sz val="10"/>
        <rFont val="Times New Roman"/>
        <family val="1"/>
      </rPr>
      <t xml:space="preserve"> 1.025</t>
    </r>
  </si>
  <si>
    <r>
      <t>G</t>
    </r>
    <r>
      <rPr>
        <sz val="10"/>
        <rFont val="方正书宋_GBK"/>
        <charset val="134"/>
      </rPr>
      <t>列</t>
    </r>
  </si>
  <si>
    <r>
      <t>H</t>
    </r>
    <r>
      <rPr>
        <sz val="10"/>
        <rFont val="方正书宋_GBK"/>
        <charset val="134"/>
      </rPr>
      <t>列</t>
    </r>
  </si>
  <si>
    <t>计算时可以拖住第一栏下拉，即可自动计算</t>
  </si>
  <si>
    <t>WBT 1P</t>
  </si>
  <si>
    <t>WBT 1S</t>
  </si>
  <si>
    <t>如果压载舱多，需使用第二页，需将“压载水合计”H42 改为=M36+H99</t>
  </si>
  <si>
    <t>WBT 2P</t>
  </si>
  <si>
    <t>WBT 2S</t>
  </si>
  <si>
    <t>WBT 3P</t>
  </si>
  <si>
    <t>WBT 3S</t>
  </si>
  <si>
    <t>WBT 4P</t>
  </si>
  <si>
    <t>WBT 4S</t>
  </si>
  <si>
    <t>WBT 5P</t>
  </si>
  <si>
    <t>WBT 5S</t>
  </si>
  <si>
    <t>TST 1P</t>
  </si>
  <si>
    <t>TST 1S</t>
  </si>
  <si>
    <t>TST 2P</t>
  </si>
  <si>
    <t>TST 2S</t>
  </si>
  <si>
    <t>TST 3P</t>
  </si>
  <si>
    <t>TST 3S</t>
  </si>
  <si>
    <t>TST 4P</t>
  </si>
  <si>
    <t>TST 4S</t>
  </si>
  <si>
    <t>APT</t>
  </si>
  <si>
    <t>【船用物料】</t>
  </si>
  <si>
    <t>TOTAL</t>
  </si>
  <si>
    <t>FWTP</t>
  </si>
  <si>
    <t>F13</t>
  </si>
  <si>
    <t>H13</t>
  </si>
  <si>
    <t>FWTS</t>
  </si>
  <si>
    <t>F14</t>
  </si>
  <si>
    <t>H14</t>
  </si>
  <si>
    <r>
      <rPr>
        <sz val="12"/>
        <rFont val="宋体"/>
        <family val="3"/>
        <charset val="134"/>
      </rPr>
      <t>压载水合计</t>
    </r>
    <r>
      <rPr>
        <sz val="12"/>
        <rFont val="Times New Roman"/>
        <family val="1"/>
      </rPr>
      <t>(MT)</t>
    </r>
  </si>
  <si>
    <t>淡水合计(MT）</t>
  </si>
  <si>
    <r>
      <rPr>
        <sz val="12"/>
        <rFont val="宋体"/>
        <family val="3"/>
        <charset val="134"/>
      </rPr>
      <t>淡水合计</t>
    </r>
    <r>
      <rPr>
        <sz val="12"/>
        <rFont val="Times New Roman"/>
        <family val="1"/>
      </rPr>
      <t>(MT)</t>
    </r>
  </si>
  <si>
    <r>
      <rPr>
        <sz val="12"/>
        <rFont val="宋体"/>
        <family val="3"/>
        <charset val="134"/>
      </rPr>
      <t xml:space="preserve"> </t>
    </r>
    <r>
      <rPr>
        <sz val="12"/>
        <rFont val="宋体"/>
        <family val="3"/>
        <charset val="134"/>
      </rPr>
      <t xml:space="preserve">              </t>
    </r>
    <r>
      <rPr>
        <sz val="12"/>
        <rFont val="宋体"/>
        <family val="3"/>
        <charset val="134"/>
      </rPr>
      <t>鉴定人：</t>
    </r>
    <r>
      <rPr>
        <sz val="12"/>
        <rFont val="宋体"/>
        <family val="3"/>
        <charset val="134"/>
      </rPr>
      <t xml:space="preserve">                                 复核人：</t>
    </r>
  </si>
  <si>
    <t xml:space="preserve">                                                  </t>
  </si>
  <si>
    <t>第二张水油舱测量计算单，如有需要，数据录入第一页、第二页，第二页单独设置打印
文件--打印区域--设置打印区域</t>
  </si>
  <si>
    <t xml:space="preserve">CCIC-SD-TRD(13)-02-04-2017  </t>
  </si>
  <si>
    <r>
      <rPr>
        <b/>
        <sz val="12"/>
        <rFont val="Times New Roman"/>
        <family val="1"/>
      </rPr>
      <t xml:space="preserve"> Ref. No.</t>
    </r>
    <r>
      <rPr>
        <sz val="12"/>
        <rFont val="Times New Roman"/>
        <family val="1"/>
      </rPr>
      <t xml:space="preserve">: </t>
    </r>
  </si>
  <si>
    <t>Draft Survey Record</t>
  </si>
  <si>
    <t xml:space="preserve"> Vessel</t>
  </si>
  <si>
    <t xml:space="preserve"> Port</t>
  </si>
  <si>
    <t xml:space="preserve"> Cargo</t>
  </si>
  <si>
    <t xml:space="preserve"> Date</t>
  </si>
  <si>
    <t>Initial</t>
  </si>
  <si>
    <t>Final</t>
  </si>
  <si>
    <t>Time of Inspection</t>
  </si>
  <si>
    <t>Density of Harbour Water at Berth (g/cm3)</t>
  </si>
  <si>
    <t>Ship's Draft (M)</t>
  </si>
  <si>
    <t>Fore(Corrected)</t>
  </si>
  <si>
    <t>Aft(Corrected)</t>
  </si>
  <si>
    <t>Midship Port(Corrected)</t>
  </si>
  <si>
    <t>Midship Starboard(Corrected)</t>
  </si>
  <si>
    <t>Draft after Correction for Deformation</t>
  </si>
  <si>
    <t>Displacement: (MT)</t>
  </si>
  <si>
    <t>Corresponding Displacement</t>
  </si>
  <si>
    <t>Correction for Trim</t>
  </si>
  <si>
    <t>Correction for Density</t>
  </si>
  <si>
    <t>Corrected Displacement</t>
  </si>
  <si>
    <t>Quantity of Ship's Elements (MT)</t>
  </si>
  <si>
    <t>Bunker</t>
  </si>
  <si>
    <t>Fresh Water</t>
  </si>
  <si>
    <t>Ballast Water</t>
  </si>
  <si>
    <t>Others</t>
  </si>
  <si>
    <t>Total Weight of Ship's Elements</t>
  </si>
  <si>
    <t>Weight of Cargo Loaded/Unloaded (MT)</t>
  </si>
  <si>
    <t xml:space="preserve"> Master/Chief Officer</t>
  </si>
  <si>
    <t>Surveyor</t>
  </si>
  <si>
    <r>
      <rPr>
        <b/>
        <sz val="16"/>
        <color indexed="10"/>
        <rFont val="宋体"/>
        <family val="3"/>
        <charset val="134"/>
      </rPr>
      <t>后台运算公式，勿动！！！！！！！！！！</t>
    </r>
  </si>
  <si>
    <r>
      <rPr>
        <b/>
        <sz val="16"/>
        <color indexed="10"/>
        <rFont val="宋体"/>
        <family val="3"/>
        <charset val="134"/>
      </rPr>
      <t>初次</t>
    </r>
  </si>
  <si>
    <r>
      <rPr>
        <b/>
        <sz val="16"/>
        <rFont val="宋体"/>
        <family val="3"/>
        <charset val="134"/>
      </rPr>
      <t>小数位数</t>
    </r>
  </si>
  <si>
    <r>
      <rPr>
        <b/>
        <sz val="16"/>
        <color indexed="10"/>
        <rFont val="宋体"/>
        <family val="3"/>
        <charset val="134"/>
      </rPr>
      <t>末次</t>
    </r>
  </si>
  <si>
    <r>
      <rPr>
        <sz val="12"/>
        <rFont val="宋体"/>
        <family val="3"/>
        <charset val="134"/>
      </rPr>
      <t>艏水尺</t>
    </r>
  </si>
  <si>
    <r>
      <rPr>
        <sz val="12"/>
        <rFont val="宋体"/>
        <family val="3"/>
        <charset val="134"/>
      </rPr>
      <t>舯水尺</t>
    </r>
  </si>
  <si>
    <r>
      <rPr>
        <sz val="12"/>
        <rFont val="宋体"/>
        <family val="3"/>
        <charset val="134"/>
      </rPr>
      <t>艉水尺</t>
    </r>
  </si>
  <si>
    <r>
      <rPr>
        <sz val="12"/>
        <rFont val="宋体"/>
        <family val="3"/>
        <charset val="134"/>
      </rPr>
      <t>艏艉平均</t>
    </r>
  </si>
  <si>
    <r>
      <rPr>
        <sz val="12"/>
        <rFont val="宋体"/>
        <family val="3"/>
        <charset val="134"/>
      </rPr>
      <t>六面平均</t>
    </r>
  </si>
  <si>
    <r>
      <rPr>
        <sz val="12"/>
        <rFont val="宋体"/>
        <family val="3"/>
        <charset val="134"/>
      </rPr>
      <t>校正后平均</t>
    </r>
  </si>
  <si>
    <r>
      <rPr>
        <sz val="12"/>
        <rFont val="宋体"/>
        <family val="3"/>
        <charset val="134"/>
      </rPr>
      <t>相应排水量</t>
    </r>
  </si>
  <si>
    <r>
      <rPr>
        <sz val="12"/>
        <rFont val="宋体"/>
        <family val="3"/>
        <charset val="134"/>
      </rPr>
      <t>纵倾一次校正</t>
    </r>
  </si>
  <si>
    <r>
      <rPr>
        <sz val="12"/>
        <rFont val="宋体"/>
        <family val="3"/>
        <charset val="134"/>
      </rPr>
      <t>纵倾二次修正</t>
    </r>
  </si>
  <si>
    <r>
      <rPr>
        <sz val="12"/>
        <rFont val="宋体"/>
        <family val="3"/>
        <charset val="134"/>
      </rPr>
      <t>纵倾修正后排水量</t>
    </r>
  </si>
  <si>
    <r>
      <rPr>
        <sz val="12"/>
        <rFont val="宋体"/>
        <family val="3"/>
        <charset val="134"/>
      </rPr>
      <t>港水密度修正量</t>
    </r>
  </si>
  <si>
    <r>
      <rPr>
        <sz val="12"/>
        <rFont val="宋体"/>
        <family val="3"/>
        <charset val="134"/>
      </rPr>
      <t>港水密度修正后排水量</t>
    </r>
    <r>
      <rPr>
        <sz val="12"/>
        <rFont val="Times New Roman"/>
        <family val="1"/>
      </rPr>
      <t>(A)</t>
    </r>
  </si>
  <si>
    <r>
      <rPr>
        <sz val="12"/>
        <rFont val="宋体"/>
        <family val="3"/>
        <charset val="134"/>
      </rPr>
      <t>压载水计算</t>
    </r>
  </si>
  <si>
    <r>
      <rPr>
        <sz val="12"/>
        <rFont val="宋体"/>
        <family val="3"/>
        <charset val="134"/>
      </rPr>
      <t>燃油</t>
    </r>
  </si>
  <si>
    <r>
      <rPr>
        <sz val="12"/>
        <rFont val="宋体"/>
        <family val="3"/>
        <charset val="134"/>
      </rPr>
      <t>淡水</t>
    </r>
  </si>
  <si>
    <r>
      <rPr>
        <sz val="12"/>
        <rFont val="宋体"/>
        <family val="3"/>
        <charset val="134"/>
      </rPr>
      <t>物料总和（</t>
    </r>
    <r>
      <rPr>
        <sz val="12"/>
        <rFont val="Times New Roman"/>
        <family val="1"/>
      </rPr>
      <t>B</t>
    </r>
    <r>
      <rPr>
        <sz val="12"/>
        <rFont val="宋体"/>
        <family val="3"/>
        <charset val="134"/>
      </rPr>
      <t>）</t>
    </r>
  </si>
  <si>
    <r>
      <rPr>
        <sz val="12"/>
        <rFont val="宋体"/>
        <family val="3"/>
        <charset val="134"/>
      </rPr>
      <t>物料总和</t>
    </r>
  </si>
  <si>
    <t>A-B</t>
  </si>
  <si>
    <r>
      <rPr>
        <sz val="12"/>
        <rFont val="宋体"/>
        <family val="3"/>
        <charset val="134"/>
      </rPr>
      <t>货物重量</t>
    </r>
  </si>
  <si>
    <t>使用说明</t>
  </si>
  <si>
    <r>
      <rPr>
        <sz val="12"/>
        <rFont val="Times New Roman"/>
        <family val="1"/>
      </rPr>
      <t>1</t>
    </r>
    <r>
      <rPr>
        <sz val="12"/>
        <rFont val="宋体"/>
        <family val="3"/>
        <charset val="134"/>
      </rPr>
      <t>、根据需要选择，在水尺计重工作记录单页</t>
    </r>
    <r>
      <rPr>
        <sz val="12"/>
        <rFont val="Times New Roman"/>
        <family val="1"/>
      </rPr>
      <t>--</t>
    </r>
    <r>
      <rPr>
        <sz val="12"/>
        <rFont val="宋体"/>
        <family val="3"/>
        <charset val="134"/>
      </rPr>
      <t>右上角选择</t>
    </r>
    <r>
      <rPr>
        <sz val="12"/>
        <rFont val="Times New Roman"/>
        <family val="1"/>
      </rPr>
      <t>“</t>
    </r>
    <r>
      <rPr>
        <sz val="12"/>
        <rFont val="宋体"/>
        <family val="3"/>
        <charset val="134"/>
      </rPr>
      <t>卸货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装货</t>
    </r>
    <r>
      <rPr>
        <sz val="12"/>
        <rFont val="Times New Roman"/>
        <family val="1"/>
      </rPr>
      <t>”</t>
    </r>
  </si>
  <si>
    <r>
      <rPr>
        <sz val="12"/>
        <rFont val="Times New Roman"/>
        <family val="1"/>
      </rPr>
      <t>2</t>
    </r>
    <r>
      <rPr>
        <sz val="12"/>
        <rFont val="宋体"/>
        <family val="3"/>
        <charset val="134"/>
      </rPr>
      <t>、在水尺计重工作记录单页</t>
    </r>
    <r>
      <rPr>
        <sz val="12"/>
        <rFont val="Times New Roman"/>
        <family val="1"/>
      </rPr>
      <t>--</t>
    </r>
    <r>
      <rPr>
        <sz val="12"/>
        <rFont val="宋体"/>
        <family val="3"/>
        <charset val="134"/>
      </rPr>
      <t>抵港、靠泊、装卸始、装卸终时间一栏，需填写年月日时，格式</t>
    </r>
    <r>
      <rPr>
        <sz val="12"/>
        <rFont val="Times New Roman"/>
        <family val="1"/>
      </rPr>
      <t>2019/08/01 15:00</t>
    </r>
  </si>
  <si>
    <r>
      <rPr>
        <sz val="12"/>
        <rFont val="Times New Roman"/>
        <family val="1"/>
      </rPr>
      <t>3</t>
    </r>
    <r>
      <rPr>
        <sz val="12"/>
        <rFont val="宋体"/>
        <family val="3"/>
        <charset val="134"/>
      </rPr>
      <t>、在水尺计重工作记录单页</t>
    </r>
    <r>
      <rPr>
        <sz val="12"/>
        <rFont val="Times New Roman"/>
        <family val="1"/>
      </rPr>
      <t>--</t>
    </r>
    <r>
      <rPr>
        <sz val="12"/>
        <rFont val="宋体"/>
        <family val="3"/>
        <charset val="134"/>
      </rPr>
      <t>工作时间一栏，日期格式为</t>
    </r>
    <r>
      <rPr>
        <sz val="12"/>
        <rFont val="Times New Roman"/>
        <family val="1"/>
      </rPr>
      <t>2019/08/10</t>
    </r>
  </si>
  <si>
    <r>
      <rPr>
        <sz val="12"/>
        <rFont val="Times New Roman"/>
        <family val="1"/>
      </rPr>
      <t>4</t>
    </r>
    <r>
      <rPr>
        <sz val="12"/>
        <rFont val="宋体"/>
        <family val="3"/>
        <charset val="134"/>
      </rPr>
      <t>、工作记录首页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测深、水密编号各公司可根据需要自行添加，密码是</t>
    </r>
    <r>
      <rPr>
        <sz val="12"/>
        <rFont val="Times New Roman"/>
        <family val="1"/>
      </rPr>
      <t>1234</t>
    </r>
    <r>
      <rPr>
        <sz val="12"/>
        <rFont val="宋体"/>
        <family val="3"/>
        <charset val="134"/>
      </rPr>
      <t>；步骤：审阅</t>
    </r>
    <r>
      <rPr>
        <sz val="12"/>
        <rFont val="Times New Roman"/>
        <family val="1"/>
      </rPr>
      <t>--</t>
    </r>
    <r>
      <rPr>
        <sz val="12"/>
        <rFont val="宋体"/>
        <family val="3"/>
        <charset val="134"/>
      </rPr>
      <t>撤销工作表保护；</t>
    </r>
  </si>
  <si>
    <r>
      <rPr>
        <sz val="12"/>
        <rFont val="Times New Roman"/>
        <family val="1"/>
      </rPr>
      <t>5</t>
    </r>
    <r>
      <rPr>
        <sz val="12"/>
        <rFont val="宋体"/>
        <family val="3"/>
        <charset val="134"/>
      </rPr>
      <t>、在水尺计重排水计算单一页，吃水修小于30公分，建议也进行吃水校正；船艏、舯、艉吃水校正值计算公式中已含正负号，请勿随意更改；</t>
    </r>
  </si>
  <si>
    <r>
      <rPr>
        <sz val="12"/>
        <rFont val="Times New Roman"/>
        <family val="1"/>
      </rPr>
      <t>6</t>
    </r>
    <r>
      <rPr>
        <sz val="12"/>
        <rFont val="宋体"/>
        <family val="3"/>
        <charset val="134"/>
      </rPr>
      <t>、在水尺计重排水计算单一页，由于部分内贸船，未标明吃水修正线，需查表看吃水修正值时，需手动添加吃水修正值，步骤：审阅</t>
    </r>
    <r>
      <rPr>
        <sz val="12"/>
        <rFont val="Times New Roman"/>
        <family val="1"/>
      </rPr>
      <t>--</t>
    </r>
    <r>
      <rPr>
        <sz val="12"/>
        <rFont val="宋体"/>
        <family val="3"/>
        <charset val="134"/>
      </rPr>
      <t>撤销工作表保护；</t>
    </r>
  </si>
  <si>
    <r>
      <rPr>
        <sz val="12"/>
        <rFont val="Times New Roman"/>
        <family val="1"/>
      </rPr>
      <t>7</t>
    </r>
    <r>
      <rPr>
        <sz val="12"/>
        <rFont val="宋体"/>
        <family val="3"/>
        <charset val="134"/>
      </rPr>
      <t>、在水尺计重排水计算单一页，拱陷校正后水尺、货物重量已按四舍六入偶不进修约规则计算，其他涉及计算的单元格已设定好计算格式，请勿随意修改；</t>
    </r>
  </si>
  <si>
    <r>
      <rPr>
        <sz val="12"/>
        <rFont val="Times New Roman"/>
        <family val="1"/>
      </rPr>
      <t>8</t>
    </r>
    <r>
      <rPr>
        <sz val="12"/>
        <rFont val="宋体"/>
        <family val="3"/>
        <charset val="134"/>
      </rPr>
      <t>、在水尺计重水油舱测量计算单中，末次压载水密度已设定好计算公式，因为船舶船舱不一样，所以选中用不到的行（包括第二张水油舱测量计算单用不到的行，不要选中末次压载水密度一栏），</t>
    </r>
    <r>
      <rPr>
        <sz val="12"/>
        <rFont val="Times New Roman"/>
        <family val="1"/>
      </rPr>
      <t>delete</t>
    </r>
    <r>
      <rPr>
        <sz val="12"/>
        <rFont val="宋体"/>
        <family val="3"/>
        <charset val="134"/>
      </rPr>
      <t>后，即可显示压载水重量</t>
    </r>
  </si>
  <si>
    <r>
      <rPr>
        <sz val="12"/>
        <rFont val="Times New Roman"/>
        <family val="1"/>
      </rPr>
      <t>9</t>
    </r>
    <r>
      <rPr>
        <sz val="12"/>
        <rFont val="宋体"/>
        <family val="3"/>
        <charset val="134"/>
      </rPr>
      <t>、每次登轮时，务必请使用空白版本，勿在之前整理的单据上修改；</t>
    </r>
  </si>
  <si>
    <t>MOUNT BOLIVAR</t>
    <phoneticPr fontId="28" type="noConversion"/>
  </si>
  <si>
    <t>LIBERIA</t>
    <phoneticPr fontId="28" type="noConversion"/>
  </si>
  <si>
    <t>魏祥 郭启奎</t>
    <phoneticPr fontId="28" type="noConversion"/>
  </si>
  <si>
    <t>18:00-19:00</t>
    <phoneticPr fontId="28" type="noConversion"/>
  </si>
  <si>
    <t>董家口D2</t>
    <phoneticPr fontId="28" type="noConversion"/>
  </si>
  <si>
    <t>10:30-11:30</t>
    <phoneticPr fontId="28" type="noConversion"/>
  </si>
  <si>
    <t>备注：无  异常情况：无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</si>
</sst>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176" formatCode="General\ &quot;hrs&quot;"/>
    <numFmt numFmtId="177" formatCode="General\ &quot;年&quot;"/>
    <numFmt numFmtId="178" formatCode="yyyy/m/d\ h:mm;@"/>
    <numFmt numFmtId="179" formatCode="General\ \ &quot;MT&quot;"/>
    <numFmt numFmtId="180" formatCode="0.0\ &quot;m.t&quot;"/>
    <numFmt numFmtId="181" formatCode="General\ \ &quot;公吨&quot;"/>
    <numFmt numFmtId="182" formatCode="0.00&quot;m.m.t/cm&quot;"/>
    <numFmt numFmtId="183" formatCode="0.0000\ &quot;kg/L&quot;"/>
    <numFmt numFmtId="184" formatCode="0.0\ &quot;m&quot;"/>
    <numFmt numFmtId="185" formatCode="0.0_);[Red]\(0.0\)"/>
    <numFmt numFmtId="186" formatCode="0.00_ "/>
    <numFmt numFmtId="187" formatCode="0\ \ &quot;MT&quot;"/>
    <numFmt numFmtId="188" formatCode="0_ "/>
    <numFmt numFmtId="189" formatCode="0.000\ &quot;m&quot;"/>
    <numFmt numFmtId="190" formatCode="0.000\ &quot;m.t/cm&quot;"/>
    <numFmt numFmtId="191" formatCode="0.000_ "/>
    <numFmt numFmtId="193" formatCode="0.0_ "/>
    <numFmt numFmtId="194" formatCode="0.0\ \ &quot;MT&quot;"/>
    <numFmt numFmtId="196" formatCode="0.000_);[Red]\(0.000\)"/>
    <numFmt numFmtId="197" formatCode="_ \¥* #,##0.00_ ;_ \¥* \-#,##0.00_ ;_ \¥* &quot;-&quot;??_ ;_ @_ "/>
    <numFmt numFmtId="199" formatCode="0.00\ &quot;m&quot;"/>
    <numFmt numFmtId="200" formatCode="0_);[Red]\(0\)"/>
    <numFmt numFmtId="201" formatCode="0.0000_ "/>
    <numFmt numFmtId="202" formatCode="0.000000_ "/>
    <numFmt numFmtId="203" formatCode="\+0.0;\-0.0;0.0"/>
  </numFmts>
  <fonts count="50">
    <font>
      <sz val="12"/>
      <name val="宋体"/>
      <charset val="134"/>
    </font>
    <font>
      <b/>
      <sz val="16"/>
      <color rgb="FFFF0000"/>
      <name val="宋体"/>
      <family val="3"/>
      <charset val="134"/>
    </font>
    <font>
      <sz val="12"/>
      <name val="Times New Roman"/>
      <family val="1"/>
    </font>
    <font>
      <b/>
      <sz val="16"/>
      <color rgb="FFFF0000"/>
      <name val="Times New Roman"/>
      <family val="1"/>
    </font>
    <font>
      <b/>
      <sz val="12"/>
      <color indexed="12"/>
      <name val="Times New Roman"/>
      <family val="1"/>
    </font>
    <font>
      <b/>
      <sz val="16"/>
      <name val="Times New Roman"/>
      <family val="1"/>
    </font>
    <font>
      <sz val="12"/>
      <color rgb="FFFF0000"/>
      <name val="Times New Roman"/>
      <family val="1"/>
    </font>
    <font>
      <sz val="12"/>
      <color rgb="FFFF0000"/>
      <name val="宋体"/>
      <family val="3"/>
      <charset val="134"/>
    </font>
    <font>
      <b/>
      <sz val="10.5"/>
      <name val="仿宋_GB2312"/>
      <charset val="134"/>
    </font>
    <font>
      <sz val="6.5"/>
      <name val="Times New Roman"/>
      <family val="1"/>
    </font>
    <font>
      <sz val="6.5"/>
      <name val="宋体"/>
      <family val="3"/>
      <charset val="134"/>
    </font>
    <font>
      <b/>
      <sz val="15"/>
      <name val="Times New Roman"/>
      <family val="1"/>
    </font>
    <font>
      <b/>
      <sz val="12"/>
      <name val="Times New Roman"/>
      <family val="1"/>
    </font>
    <font>
      <b/>
      <sz val="12"/>
      <name val="宋体"/>
      <family val="3"/>
      <charset val="134"/>
    </font>
    <font>
      <b/>
      <sz val="12"/>
      <name val="仿宋_GB2312"/>
      <charset val="134"/>
    </font>
    <font>
      <sz val="9"/>
      <name val="Times New Roman"/>
      <family val="1"/>
    </font>
    <font>
      <b/>
      <sz val="10.5"/>
      <name val="Times New Roman"/>
      <family val="1"/>
    </font>
    <font>
      <b/>
      <sz val="14"/>
      <name val="宋体"/>
      <family val="3"/>
      <charset val="134"/>
    </font>
    <font>
      <sz val="8"/>
      <name val="宋体"/>
      <family val="3"/>
      <charset val="134"/>
    </font>
    <font>
      <sz val="10"/>
      <name val="Times New Roman"/>
      <family val="1"/>
    </font>
    <font>
      <sz val="10"/>
      <name val="方正书宋_GBK"/>
      <charset val="134"/>
    </font>
    <font>
      <sz val="12"/>
      <color indexed="10"/>
      <name val="Times New Roman"/>
      <family val="1"/>
    </font>
    <font>
      <sz val="14"/>
      <name val="宋体"/>
      <family val="3"/>
      <charset val="134"/>
    </font>
    <font>
      <sz val="10.5"/>
      <name val="宋体"/>
      <family val="3"/>
      <charset val="134"/>
    </font>
    <font>
      <sz val="10.5"/>
      <name val="Times New Roman"/>
      <family val="1"/>
    </font>
    <font>
      <sz val="6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9"/>
      <name val="宋体"/>
      <family val="3"/>
      <charset val="134"/>
    </font>
    <font>
      <b/>
      <sz val="11"/>
      <name val="仿宋_GB2312"/>
      <charset val="134"/>
    </font>
    <font>
      <sz val="9"/>
      <color rgb="FFFF000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color indexed="10"/>
      <name val="宋体"/>
      <family val="3"/>
      <charset val="134"/>
    </font>
    <font>
      <sz val="10"/>
      <color indexed="10"/>
      <name val="Times New Roman"/>
      <family val="1"/>
    </font>
    <font>
      <sz val="10"/>
      <color rgb="FFFF0000"/>
      <name val="Times New Roman"/>
      <family val="1"/>
    </font>
    <font>
      <sz val="8"/>
      <color indexed="10"/>
      <name val="宋体"/>
      <family val="3"/>
      <charset val="134"/>
    </font>
    <font>
      <sz val="9.5"/>
      <name val="Times New Roman"/>
      <family val="1"/>
    </font>
    <font>
      <sz val="12"/>
      <name val="方正书宋_GBK"/>
      <charset val="134"/>
    </font>
    <font>
      <sz val="14"/>
      <name val="Wingdings"/>
      <charset val="2"/>
    </font>
    <font>
      <sz val="9.5"/>
      <name val="方正书宋_GBK"/>
      <charset val="134"/>
    </font>
    <font>
      <u/>
      <sz val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Arial"/>
      <family val="2"/>
    </font>
    <font>
      <b/>
      <sz val="16"/>
      <color indexed="10"/>
      <name val="宋体"/>
      <family val="3"/>
      <charset val="134"/>
    </font>
    <font>
      <b/>
      <sz val="16"/>
      <name val="宋体"/>
      <family val="3"/>
      <charset val="134"/>
    </font>
    <font>
      <sz val="8"/>
      <name val="Times New Roman"/>
      <family val="1"/>
    </font>
    <font>
      <sz val="12"/>
      <name val="楷体_GB2312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rgb="FF00B0F0"/>
        <bgColor indexed="22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 diagonalUp="1">
      <left/>
      <right/>
      <top/>
      <bottom/>
      <diagonal style="thin">
        <color rgb="FF000000"/>
      </diagonal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auto="1"/>
      </top>
      <bottom style="thin">
        <color indexed="23"/>
      </bottom>
      <diagonal/>
    </border>
    <border>
      <left/>
      <right style="thin">
        <color auto="1"/>
      </right>
      <top style="thin">
        <color auto="1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auto="1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/>
      <right style="thin">
        <color auto="1"/>
      </right>
      <top style="thin">
        <color indexed="23"/>
      </top>
      <bottom/>
      <diagonal/>
    </border>
    <border diagonalUp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 applyBorder="0">
      <alignment vertical="center"/>
    </xf>
    <xf numFmtId="0" fontId="49" fillId="0" borderId="0" applyBorder="0"/>
    <xf numFmtId="0" fontId="49" fillId="0" borderId="0" applyBorder="0"/>
    <xf numFmtId="0" fontId="49" fillId="0" borderId="0" applyBorder="0"/>
    <xf numFmtId="197" fontId="49" fillId="0" borderId="0" applyFont="0" applyFill="0" applyBorder="0" applyAlignment="0" applyProtection="0">
      <alignment vertical="center"/>
    </xf>
  </cellStyleXfs>
  <cellXfs count="572">
    <xf numFmtId="0" fontId="0" fillId="0" borderId="0" xfId="0">
      <alignment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0" xfId="0" applyAlignment="1" applyProtection="1"/>
    <xf numFmtId="0" fontId="3" fillId="0" borderId="9" xfId="0" applyFont="1" applyBorder="1" applyAlignment="1" applyProtection="1">
      <alignment vertical="center"/>
    </xf>
    <xf numFmtId="202" fontId="4" fillId="2" borderId="9" xfId="0" applyNumberFormat="1" applyFont="1" applyFill="1" applyBorder="1" applyAlignment="1" applyProtection="1"/>
    <xf numFmtId="189" fontId="4" fillId="2" borderId="9" xfId="0" applyNumberFormat="1" applyFont="1" applyFill="1" applyBorder="1" applyAlignment="1" applyProtection="1"/>
    <xf numFmtId="0" fontId="2" fillId="2" borderId="9" xfId="0" applyFont="1" applyFill="1" applyBorder="1" applyAlignment="1" applyProtection="1"/>
    <xf numFmtId="202" fontId="2" fillId="0" borderId="9" xfId="0" applyNumberFormat="1" applyFont="1" applyBorder="1" applyAlignment="1" applyProtection="1"/>
    <xf numFmtId="201" fontId="2" fillId="2" borderId="9" xfId="0" applyNumberFormat="1" applyFont="1" applyFill="1" applyBorder="1" applyAlignment="1" applyProtection="1"/>
    <xf numFmtId="189" fontId="2" fillId="2" borderId="9" xfId="0" applyNumberFormat="1" applyFont="1" applyFill="1" applyBorder="1" applyAlignment="1" applyProtection="1"/>
    <xf numFmtId="0" fontId="2" fillId="3" borderId="9" xfId="0" applyFont="1" applyFill="1" applyBorder="1" applyAlignment="1" applyProtection="1"/>
    <xf numFmtId="194" fontId="4" fillId="2" borderId="9" xfId="0" applyNumberFormat="1" applyFont="1" applyFill="1" applyBorder="1" applyAlignment="1" applyProtection="1"/>
    <xf numFmtId="202" fontId="2" fillId="2" borderId="9" xfId="0" applyNumberFormat="1" applyFont="1" applyFill="1" applyBorder="1" applyAlignment="1" applyProtection="1"/>
    <xf numFmtId="0" fontId="2" fillId="2" borderId="9" xfId="0" applyFont="1" applyFill="1" applyBorder="1" applyAlignment="1" applyProtection="1">
      <alignment horizontal="center"/>
    </xf>
    <xf numFmtId="193" fontId="2" fillId="2" borderId="9" xfId="0" applyNumberFormat="1" applyFont="1" applyFill="1" applyBorder="1" applyAlignment="1" applyProtection="1"/>
    <xf numFmtId="0" fontId="2" fillId="0" borderId="9" xfId="0" applyFont="1" applyBorder="1" applyAlignment="1" applyProtection="1"/>
    <xf numFmtId="0" fontId="2" fillId="4" borderId="9" xfId="0" applyFont="1" applyFill="1" applyBorder="1" applyAlignment="1" applyProtection="1">
      <alignment horizontal="center"/>
    </xf>
    <xf numFmtId="193" fontId="2" fillId="4" borderId="9" xfId="0" applyNumberFormat="1" applyFont="1" applyFill="1" applyBorder="1" applyAlignment="1" applyProtection="1"/>
    <xf numFmtId="0" fontId="2" fillId="4" borderId="9" xfId="0" applyFont="1" applyFill="1" applyBorder="1" applyAlignment="1" applyProtection="1"/>
    <xf numFmtId="194" fontId="2" fillId="4" borderId="9" xfId="0" applyNumberFormat="1" applyFont="1" applyFill="1" applyBorder="1" applyAlignment="1" applyProtection="1"/>
    <xf numFmtId="0" fontId="0" fillId="0" borderId="0" xfId="0" applyAlignment="1" applyProtection="1">
      <alignment horizontal="center"/>
    </xf>
    <xf numFmtId="191" fontId="0" fillId="0" borderId="0" xfId="0" applyNumberFormat="1" applyAlignment="1" applyProtection="1"/>
    <xf numFmtId="193" fontId="0" fillId="0" borderId="0" xfId="0" applyNumberFormat="1" applyAlignment="1" applyProtection="1"/>
    <xf numFmtId="0" fontId="5" fillId="0" borderId="9" xfId="0" applyFont="1" applyBorder="1" applyAlignment="1" applyProtection="1">
      <alignment vertical="center"/>
    </xf>
    <xf numFmtId="188" fontId="2" fillId="0" borderId="9" xfId="0" applyNumberFormat="1" applyFont="1" applyBorder="1" applyAlignment="1" applyProtection="1">
      <alignment horizontal="center" vertical="center"/>
    </xf>
    <xf numFmtId="191" fontId="2" fillId="3" borderId="9" xfId="0" applyNumberFormat="1" applyFont="1" applyFill="1" applyBorder="1" applyAlignment="1" applyProtection="1"/>
    <xf numFmtId="202" fontId="2" fillId="0" borderId="9" xfId="0" applyNumberFormat="1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188" fontId="2" fillId="4" borderId="9" xfId="0" applyNumberFormat="1" applyFont="1" applyFill="1" applyBorder="1" applyAlignment="1" applyProtection="1">
      <alignment horizontal="center" vertical="center"/>
    </xf>
    <xf numFmtId="187" fontId="2" fillId="4" borderId="9" xfId="0" applyNumberFormat="1" applyFont="1" applyFill="1" applyBorder="1" applyAlignment="1" applyProtection="1"/>
    <xf numFmtId="0" fontId="6" fillId="4" borderId="9" xfId="0" applyFont="1" applyFill="1" applyBorder="1" applyAlignment="1" applyProtection="1"/>
    <xf numFmtId="0" fontId="7" fillId="0" borderId="0" xfId="0" applyFont="1" applyAlignment="1" applyProtection="1">
      <alignment vertical="center"/>
    </xf>
    <xf numFmtId="0" fontId="0" fillId="5" borderId="0" xfId="0" applyFill="1">
      <alignment vertical="center"/>
    </xf>
    <xf numFmtId="0" fontId="9" fillId="5" borderId="0" xfId="0" applyFont="1" applyFill="1" applyAlignment="1">
      <alignment horizontal="left" vertical="top"/>
    </xf>
    <xf numFmtId="0" fontId="12" fillId="5" borderId="1" xfId="0" applyFont="1" applyFill="1" applyBorder="1">
      <alignment vertical="center"/>
    </xf>
    <xf numFmtId="0" fontId="12" fillId="5" borderId="1" xfId="0" applyFont="1" applyFill="1" applyBorder="1" applyAlignment="1">
      <alignment horizontal="left" vertical="center"/>
    </xf>
    <xf numFmtId="0" fontId="13" fillId="5" borderId="4" xfId="0" applyFont="1" applyFill="1" applyBorder="1">
      <alignment vertical="center"/>
    </xf>
    <xf numFmtId="0" fontId="2" fillId="5" borderId="5" xfId="0" applyFont="1" applyFill="1" applyBorder="1" applyAlignment="1">
      <alignment horizontal="center" vertical="center" shrinkToFit="1"/>
    </xf>
    <xf numFmtId="0" fontId="12" fillId="5" borderId="0" xfId="0" applyFont="1" applyFill="1">
      <alignment vertical="center"/>
    </xf>
    <xf numFmtId="0" fontId="0" fillId="5" borderId="10" xfId="0" applyFill="1" applyBorder="1">
      <alignment vertical="center"/>
    </xf>
    <xf numFmtId="0" fontId="12" fillId="5" borderId="11" xfId="0" applyFont="1" applyFill="1" applyBorder="1" applyAlignment="1">
      <alignment horizontal="left" vertical="center" wrapText="1"/>
    </xf>
    <xf numFmtId="0" fontId="0" fillId="5" borderId="4" xfId="0" applyFill="1" applyBorder="1">
      <alignment vertical="center"/>
    </xf>
    <xf numFmtId="0" fontId="12" fillId="5" borderId="10" xfId="0" applyFont="1" applyFill="1" applyBorder="1" applyAlignment="1">
      <alignment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10" xfId="0" applyFont="1" applyFill="1" applyBorder="1">
      <alignment vertical="center"/>
    </xf>
    <xf numFmtId="0" fontId="0" fillId="5" borderId="11" xfId="0" applyFill="1" applyBorder="1">
      <alignment vertical="center"/>
    </xf>
    <xf numFmtId="0" fontId="0" fillId="5" borderId="12" xfId="0" applyFill="1" applyBorder="1">
      <alignment vertical="center"/>
    </xf>
    <xf numFmtId="0" fontId="0" fillId="0" borderId="0" xfId="0" applyFill="1">
      <alignment vertical="center"/>
    </xf>
    <xf numFmtId="0" fontId="14" fillId="5" borderId="0" xfId="0" applyFont="1" applyFill="1" applyAlignment="1">
      <alignment vertical="center"/>
    </xf>
    <xf numFmtId="0" fontId="12" fillId="5" borderId="0" xfId="0" applyFont="1" applyFill="1" applyAlignment="1">
      <alignment horizontal="right" vertical="center"/>
    </xf>
    <xf numFmtId="0" fontId="0" fillId="5" borderId="13" xfId="0" applyFill="1" applyBorder="1">
      <alignment vertical="center"/>
    </xf>
    <xf numFmtId="0" fontId="2" fillId="5" borderId="0" xfId="0" applyFont="1" applyFill="1" applyAlignment="1">
      <alignment horizontal="center" vertical="center"/>
    </xf>
    <xf numFmtId="0" fontId="0" fillId="5" borderId="12" xfId="0" applyFont="1" applyFill="1" applyBorder="1">
      <alignment vertical="center"/>
    </xf>
    <xf numFmtId="0" fontId="2" fillId="5" borderId="0" xfId="0" applyFont="1" applyFill="1" applyAlignment="1">
      <alignment vertical="center" shrinkToFit="1"/>
    </xf>
    <xf numFmtId="14" fontId="2" fillId="5" borderId="6" xfId="0" applyNumberFormat="1" applyFont="1" applyFill="1" applyBorder="1" applyAlignment="1">
      <alignment horizontal="center" vertical="center" shrinkToFit="1"/>
    </xf>
    <xf numFmtId="14" fontId="2" fillId="5" borderId="8" xfId="0" applyNumberFormat="1" applyFont="1" applyFill="1" applyBorder="1" applyAlignment="1">
      <alignment horizontal="center" vertical="center" shrinkToFit="1"/>
    </xf>
    <xf numFmtId="0" fontId="16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left" vertical="center"/>
    </xf>
    <xf numFmtId="0" fontId="0" fillId="5" borderId="5" xfId="0" applyFont="1" applyFill="1" applyBorder="1" applyAlignment="1">
      <alignment horizontal="right" vertical="center"/>
    </xf>
    <xf numFmtId="0" fontId="0" fillId="5" borderId="5" xfId="0" applyFont="1" applyFill="1" applyBorder="1" applyAlignment="1">
      <alignment horizontal="center" vertical="center"/>
    </xf>
    <xf numFmtId="0" fontId="18" fillId="5" borderId="9" xfId="0" applyFont="1" applyFill="1" applyBorder="1" applyAlignment="1">
      <alignment horizontal="left" vertical="center" wrapText="1"/>
    </xf>
    <xf numFmtId="0" fontId="19" fillId="0" borderId="9" xfId="0" applyNumberFormat="1" applyFont="1" applyBorder="1" applyAlignment="1" applyProtection="1">
      <alignment horizontal="center" vertical="center" shrinkToFit="1"/>
      <protection locked="0"/>
    </xf>
    <xf numFmtId="186" fontId="19" fillId="0" borderId="9" xfId="0" applyNumberFormat="1" applyFont="1" applyBorder="1" applyAlignment="1" applyProtection="1">
      <alignment horizontal="center" vertical="center" wrapText="1"/>
      <protection locked="0"/>
    </xf>
    <xf numFmtId="186" fontId="20" fillId="0" borderId="9" xfId="0" applyNumberFormat="1" applyFont="1" applyBorder="1" applyAlignment="1" applyProtection="1">
      <alignment horizontal="center" vertical="center" wrapText="1"/>
      <protection locked="0"/>
    </xf>
    <xf numFmtId="186" fontId="19" fillId="0" borderId="9" xfId="0" applyNumberFormat="1" applyFont="1" applyFill="1" applyBorder="1" applyAlignment="1" applyProtection="1">
      <alignment horizontal="center" vertical="center"/>
      <protection locked="0"/>
    </xf>
    <xf numFmtId="0" fontId="2" fillId="5" borderId="9" xfId="0" applyNumberFormat="1" applyFont="1" applyFill="1" applyBorder="1" applyAlignment="1" applyProtection="1">
      <alignment horizontal="center" vertical="center" shrinkToFit="1"/>
      <protection locked="0"/>
    </xf>
    <xf numFmtId="186" fontId="2" fillId="5" borderId="9" xfId="0" applyNumberFormat="1" applyFont="1" applyFill="1" applyBorder="1" applyAlignment="1" applyProtection="1">
      <alignment horizontal="center" vertical="center" wrapText="1"/>
      <protection locked="0"/>
    </xf>
    <xf numFmtId="186" fontId="2" fillId="5" borderId="9" xfId="0" applyNumberFormat="1" applyFont="1" applyFill="1" applyBorder="1" applyAlignment="1" applyProtection="1">
      <alignment horizontal="center" vertical="center"/>
      <protection locked="0"/>
    </xf>
    <xf numFmtId="0" fontId="2" fillId="0" borderId="9" xfId="0" applyNumberFormat="1" applyFont="1" applyBorder="1" applyAlignment="1" applyProtection="1">
      <alignment horizontal="center" vertical="center" shrinkToFit="1"/>
      <protection locked="0"/>
    </xf>
    <xf numFmtId="0" fontId="2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0" applyFont="1" applyAlignment="1">
      <alignment horizontal="left" vertical="center"/>
    </xf>
    <xf numFmtId="0" fontId="0" fillId="5" borderId="0" xfId="0" applyFill="1" applyProtection="1">
      <alignment vertical="center"/>
      <protection locked="0"/>
    </xf>
    <xf numFmtId="0" fontId="16" fillId="5" borderId="0" xfId="0" applyFont="1" applyFill="1" applyAlignment="1" applyProtection="1">
      <alignment horizontal="center" vertical="center"/>
      <protection locked="0"/>
    </xf>
    <xf numFmtId="0" fontId="2" fillId="5" borderId="0" xfId="0" applyFont="1" applyFill="1" applyAlignment="1" applyProtection="1">
      <alignment horizontal="left" vertical="center"/>
      <protection locked="0"/>
    </xf>
    <xf numFmtId="0" fontId="0" fillId="5" borderId="5" xfId="0" applyFont="1" applyFill="1" applyBorder="1" applyAlignment="1" applyProtection="1">
      <alignment horizontal="right" vertical="center"/>
      <protection locked="0"/>
    </xf>
    <xf numFmtId="0" fontId="0" fillId="5" borderId="5" xfId="0" applyFont="1" applyFill="1" applyBorder="1" applyAlignment="1" applyProtection="1">
      <alignment horizontal="center" vertical="center"/>
      <protection locked="0"/>
    </xf>
    <xf numFmtId="0" fontId="2" fillId="5" borderId="5" xfId="0" applyFont="1" applyFill="1" applyBorder="1" applyAlignment="1" applyProtection="1">
      <alignment horizontal="center" vertical="center" shrinkToFit="1"/>
    </xf>
    <xf numFmtId="0" fontId="0" fillId="5" borderId="5" xfId="0" applyFill="1" applyBorder="1" applyAlignment="1">
      <alignment vertical="center"/>
    </xf>
    <xf numFmtId="0" fontId="18" fillId="5" borderId="10" xfId="0" applyFont="1" applyFill="1" applyBorder="1" applyAlignment="1">
      <alignment horizontal="left" vertical="center" wrapText="1"/>
    </xf>
    <xf numFmtId="0" fontId="18" fillId="5" borderId="9" xfId="0" applyFont="1" applyFill="1" applyBorder="1" applyAlignment="1">
      <alignment horizontal="center" vertical="center" wrapText="1"/>
    </xf>
    <xf numFmtId="193" fontId="20" fillId="0" borderId="10" xfId="0" applyNumberFormat="1" applyFont="1" applyBorder="1" applyAlignment="1" applyProtection="1">
      <alignment horizontal="center" vertical="center" wrapText="1"/>
      <protection locked="0"/>
    </xf>
    <xf numFmtId="201" fontId="20" fillId="0" borderId="9" xfId="0" applyNumberFormat="1" applyFont="1" applyBorder="1" applyAlignment="1" applyProtection="1">
      <alignment horizontal="center" vertical="center" wrapText="1"/>
      <protection locked="0"/>
    </xf>
    <xf numFmtId="193" fontId="19" fillId="0" borderId="9" xfId="0" applyNumberFormat="1" applyFont="1" applyBorder="1" applyAlignment="1" applyProtection="1">
      <alignment horizontal="center" vertical="center" wrapText="1"/>
      <protection locked="0"/>
    </xf>
    <xf numFmtId="186" fontId="19" fillId="5" borderId="9" xfId="0" applyNumberFormat="1" applyFont="1" applyFill="1" applyBorder="1" applyAlignment="1" applyProtection="1">
      <alignment horizontal="center" vertical="center" wrapText="1"/>
    </xf>
    <xf numFmtId="193" fontId="19" fillId="0" borderId="10" xfId="0" applyNumberFormat="1" applyFont="1" applyBorder="1" applyAlignment="1" applyProtection="1">
      <alignment horizontal="center" vertical="center" wrapText="1"/>
      <protection locked="0"/>
    </xf>
    <xf numFmtId="201" fontId="19" fillId="0" borderId="9" xfId="0" applyNumberFormat="1" applyFont="1" applyBorder="1" applyAlignment="1" applyProtection="1">
      <alignment horizontal="center" vertical="center" wrapText="1"/>
      <protection locked="0"/>
    </xf>
    <xf numFmtId="193" fontId="2" fillId="5" borderId="9" xfId="0" applyNumberFormat="1" applyFont="1" applyFill="1" applyBorder="1" applyAlignment="1" applyProtection="1">
      <alignment horizontal="center" vertical="center" wrapText="1"/>
    </xf>
    <xf numFmtId="186" fontId="2" fillId="5" borderId="9" xfId="0" applyNumberFormat="1" applyFont="1" applyFill="1" applyBorder="1" applyAlignment="1" applyProtection="1">
      <alignment horizontal="center" vertical="center" wrapText="1"/>
    </xf>
    <xf numFmtId="186" fontId="2" fillId="5" borderId="10" xfId="0" applyNumberFormat="1" applyFont="1" applyFill="1" applyBorder="1" applyAlignment="1" applyProtection="1">
      <alignment horizontal="center" vertical="center" wrapText="1"/>
      <protection locked="0"/>
    </xf>
    <xf numFmtId="193" fontId="2" fillId="0" borderId="9" xfId="0" applyNumberFormat="1" applyFont="1" applyBorder="1" applyAlignment="1" applyProtection="1">
      <alignment horizontal="center" vertical="center" wrapText="1"/>
      <protection locked="0"/>
    </xf>
    <xf numFmtId="193" fontId="2" fillId="0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5" xfId="0" applyFont="1" applyFill="1" applyBorder="1" applyAlignment="1" applyProtection="1">
      <alignment horizontal="center" vertical="center" shrinkToFit="1"/>
      <protection locked="0"/>
    </xf>
    <xf numFmtId="0" fontId="0" fillId="5" borderId="5" xfId="0" applyFill="1" applyBorder="1" applyAlignment="1" applyProtection="1">
      <alignment vertical="center"/>
      <protection locked="0"/>
    </xf>
    <xf numFmtId="201" fontId="19" fillId="5" borderId="9" xfId="0" applyNumberFormat="1" applyFont="1" applyFill="1" applyBorder="1" applyAlignment="1" applyProtection="1">
      <alignment horizontal="center" vertical="center" wrapText="1"/>
    </xf>
    <xf numFmtId="186" fontId="2" fillId="5" borderId="11" xfId="0" applyNumberFormat="1" applyFont="1" applyFill="1" applyBorder="1" applyAlignment="1" applyProtection="1">
      <alignment horizontal="center" vertical="center" wrapText="1"/>
      <protection locked="0"/>
    </xf>
    <xf numFmtId="186" fontId="2" fillId="5" borderId="1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18" fillId="0" borderId="0" xfId="0" applyFont="1" applyProtection="1">
      <alignment vertical="center"/>
      <protection locked="0"/>
    </xf>
    <xf numFmtId="14" fontId="2" fillId="5" borderId="0" xfId="0" applyNumberFormat="1" applyFont="1" applyFill="1" applyAlignment="1">
      <alignment horizontal="center" vertical="center" shrinkToFit="1"/>
    </xf>
    <xf numFmtId="14" fontId="2" fillId="5" borderId="5" xfId="0" applyNumberFormat="1" applyFont="1" applyFill="1" applyBorder="1" applyAlignment="1">
      <alignment horizontal="center" vertical="center" shrinkToFit="1"/>
    </xf>
    <xf numFmtId="0" fontId="18" fillId="5" borderId="13" xfId="0" applyFont="1" applyFill="1" applyBorder="1" applyAlignment="1">
      <alignment horizontal="left" vertical="center" wrapText="1"/>
    </xf>
    <xf numFmtId="193" fontId="19" fillId="0" borderId="13" xfId="0" applyNumberFormat="1" applyFont="1" applyBorder="1" applyAlignment="1" applyProtection="1">
      <alignment horizontal="center" vertical="center" wrapText="1"/>
      <protection locked="0"/>
    </xf>
    <xf numFmtId="0" fontId="7" fillId="0" borderId="0" xfId="0" applyFont="1" applyProtection="1">
      <alignment vertical="center"/>
      <protection locked="0"/>
    </xf>
    <xf numFmtId="193" fontId="2" fillId="5" borderId="13" xfId="0" applyNumberFormat="1" applyFont="1" applyFill="1" applyBorder="1" applyAlignment="1" applyProtection="1">
      <alignment horizontal="center" vertical="center" wrapText="1"/>
    </xf>
    <xf numFmtId="193" fontId="2" fillId="0" borderId="13" xfId="0" applyNumberFormat="1" applyFont="1" applyFill="1" applyBorder="1" applyAlignment="1" applyProtection="1">
      <alignment horizontal="center" vertical="center" wrapText="1"/>
      <protection locked="0"/>
    </xf>
    <xf numFmtId="14" fontId="2" fillId="5" borderId="0" xfId="0" applyNumberFormat="1" applyFont="1" applyFill="1" applyAlignment="1" applyProtection="1">
      <alignment horizontal="center" vertical="center" shrinkToFit="1"/>
    </xf>
    <xf numFmtId="14" fontId="2" fillId="5" borderId="5" xfId="0" applyNumberFormat="1" applyFont="1" applyFill="1" applyBorder="1" applyAlignment="1" applyProtection="1">
      <alignment horizontal="center" vertical="center" shrinkToFit="1"/>
    </xf>
    <xf numFmtId="0" fontId="18" fillId="5" borderId="9" xfId="0" applyFont="1" applyFill="1" applyBorder="1" applyAlignment="1" applyProtection="1">
      <alignment horizontal="left" vertical="center" wrapText="1"/>
      <protection locked="0"/>
    </xf>
    <xf numFmtId="0" fontId="18" fillId="5" borderId="10" xfId="0" applyFont="1" applyFill="1" applyBorder="1" applyAlignment="1" applyProtection="1">
      <alignment horizontal="left" vertical="center" wrapText="1"/>
      <protection locked="0"/>
    </xf>
    <xf numFmtId="0" fontId="18" fillId="5" borderId="9" xfId="0" applyFont="1" applyFill="1" applyBorder="1" applyAlignment="1" applyProtection="1">
      <alignment horizontal="center" vertical="center" wrapText="1"/>
      <protection locked="0"/>
    </xf>
    <xf numFmtId="186" fontId="19" fillId="0" borderId="10" xfId="0" applyNumberFormat="1" applyFont="1" applyBorder="1" applyAlignment="1" applyProtection="1">
      <alignment horizontal="center" vertical="center" wrapText="1"/>
      <protection locked="0"/>
    </xf>
    <xf numFmtId="0" fontId="18" fillId="5" borderId="13" xfId="0" applyFont="1" applyFill="1" applyBorder="1" applyAlignment="1" applyProtection="1">
      <alignment horizontal="left" vertical="center" wrapText="1"/>
      <protection locked="0"/>
    </xf>
    <xf numFmtId="0" fontId="0" fillId="0" borderId="0" xfId="0" applyFont="1" applyProtection="1">
      <alignment vertical="center"/>
    </xf>
    <xf numFmtId="0" fontId="0" fillId="5" borderId="0" xfId="0" applyFont="1" applyFill="1" applyProtection="1">
      <alignment vertical="center"/>
    </xf>
    <xf numFmtId="0" fontId="23" fillId="5" borderId="1" xfId="0" applyFont="1" applyFill="1" applyBorder="1" applyProtection="1">
      <alignment vertical="center"/>
    </xf>
    <xf numFmtId="0" fontId="23" fillId="5" borderId="4" xfId="0" applyFont="1" applyFill="1" applyBorder="1" applyProtection="1">
      <alignment vertical="center"/>
    </xf>
    <xf numFmtId="0" fontId="23" fillId="5" borderId="0" xfId="0" applyFont="1" applyFill="1" applyProtection="1">
      <alignment vertical="center"/>
    </xf>
    <xf numFmtId="0" fontId="23" fillId="5" borderId="10" xfId="0" applyFont="1" applyFill="1" applyBorder="1" applyAlignment="1" applyProtection="1">
      <alignment vertical="center"/>
    </xf>
    <xf numFmtId="0" fontId="23" fillId="5" borderId="11" xfId="0" applyFont="1" applyFill="1" applyBorder="1" applyAlignment="1" applyProtection="1">
      <alignment vertical="center"/>
    </xf>
    <xf numFmtId="0" fontId="24" fillId="5" borderId="1" xfId="0" applyFont="1" applyFill="1" applyBorder="1" applyAlignment="1" applyProtection="1">
      <alignment vertical="center"/>
    </xf>
    <xf numFmtId="0" fontId="23" fillId="5" borderId="0" xfId="0" applyFont="1" applyFill="1" applyAlignment="1" applyProtection="1">
      <alignment horizontal="left" vertical="center"/>
    </xf>
    <xf numFmtId="0" fontId="26" fillId="5" borderId="0" xfId="0" applyFont="1" applyFill="1" applyAlignment="1" applyProtection="1">
      <alignment horizontal="left" vertical="center"/>
    </xf>
    <xf numFmtId="0" fontId="0" fillId="5" borderId="0" xfId="0" applyFont="1" applyFill="1" applyAlignment="1" applyProtection="1">
      <alignment horizontal="left" vertical="center" indent="6"/>
    </xf>
    <xf numFmtId="0" fontId="27" fillId="5" borderId="0" xfId="0" applyFont="1" applyFill="1" applyAlignment="1" applyProtection="1">
      <alignment horizontal="left" vertical="center" indent="6"/>
    </xf>
    <xf numFmtId="0" fontId="23" fillId="5" borderId="2" xfId="0" applyNumberFormat="1" applyFont="1" applyFill="1" applyBorder="1" applyAlignment="1" applyProtection="1">
      <alignment horizontal="center" vertical="center" wrapText="1"/>
    </xf>
    <xf numFmtId="0" fontId="23" fillId="5" borderId="14" xfId="0" applyNumberFormat="1" applyFont="1" applyFill="1" applyBorder="1" applyAlignment="1" applyProtection="1">
      <alignment horizontal="center" vertical="center" wrapText="1"/>
    </xf>
    <xf numFmtId="186" fontId="23" fillId="5" borderId="9" xfId="0" applyNumberFormat="1" applyFont="1" applyFill="1" applyBorder="1" applyAlignment="1" applyProtection="1">
      <alignment horizontal="left" vertical="center"/>
    </xf>
    <xf numFmtId="0" fontId="23" fillId="5" borderId="2" xfId="0" applyFont="1" applyFill="1" applyBorder="1" applyAlignment="1" applyProtection="1">
      <alignment vertical="center"/>
    </xf>
    <xf numFmtId="189" fontId="15" fillId="0" borderId="15" xfId="0" applyNumberFormat="1" applyFont="1" applyBorder="1" applyAlignment="1" applyProtection="1">
      <alignment vertical="center" wrapText="1" shrinkToFit="1"/>
      <protection locked="0"/>
    </xf>
    <xf numFmtId="0" fontId="24" fillId="5" borderId="6" xfId="0" applyNumberFormat="1" applyFont="1" applyFill="1" applyBorder="1" applyAlignment="1" applyProtection="1">
      <alignment vertical="center"/>
    </xf>
    <xf numFmtId="0" fontId="22" fillId="5" borderId="0" xfId="0" applyFont="1" applyFill="1" applyProtection="1">
      <alignment vertical="center"/>
    </xf>
    <xf numFmtId="0" fontId="22" fillId="5" borderId="0" xfId="0" applyFont="1" applyFill="1" applyAlignment="1" applyProtection="1">
      <alignment horizontal="right" vertical="center"/>
    </xf>
    <xf numFmtId="0" fontId="29" fillId="5" borderId="0" xfId="0" applyFont="1" applyFill="1" applyAlignment="1" applyProtection="1"/>
    <xf numFmtId="0" fontId="29" fillId="5" borderId="0" xfId="0" applyFont="1" applyFill="1" applyAlignment="1" applyProtection="1">
      <alignment vertical="center"/>
    </xf>
    <xf numFmtId="0" fontId="9" fillId="5" borderId="0" xfId="0" applyFont="1" applyFill="1" applyAlignment="1" applyProtection="1">
      <alignment vertical="top"/>
    </xf>
    <xf numFmtId="0" fontId="10" fillId="5" borderId="0" xfId="0" applyFont="1" applyFill="1" applyAlignment="1" applyProtection="1">
      <alignment horizontal="left" vertical="center"/>
    </xf>
    <xf numFmtId="0" fontId="23" fillId="5" borderId="5" xfId="0" applyFont="1" applyFill="1" applyBorder="1" applyProtection="1">
      <alignment vertical="center"/>
    </xf>
    <xf numFmtId="194" fontId="24" fillId="5" borderId="11" xfId="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vertical="center"/>
    </xf>
    <xf numFmtId="0" fontId="0" fillId="5" borderId="0" xfId="0" applyFont="1" applyFill="1" applyAlignment="1" applyProtection="1">
      <alignment vertical="center"/>
    </xf>
    <xf numFmtId="0" fontId="0" fillId="5" borderId="0" xfId="0" applyFont="1" applyFill="1" applyAlignment="1" applyProtection="1">
      <alignment horizontal="center" vertical="center"/>
    </xf>
    <xf numFmtId="0" fontId="0" fillId="5" borderId="18" xfId="0" applyFont="1" applyFill="1" applyBorder="1" applyAlignment="1" applyProtection="1">
      <alignment horizontal="center" vertical="center"/>
    </xf>
    <xf numFmtId="193" fontId="23" fillId="5" borderId="2" xfId="0" applyNumberFormat="1" applyFont="1" applyFill="1" applyBorder="1" applyAlignment="1" applyProtection="1">
      <alignment vertical="center"/>
    </xf>
    <xf numFmtId="193" fontId="23" fillId="5" borderId="11" xfId="0" applyNumberFormat="1" applyFont="1" applyFill="1" applyBorder="1" applyAlignment="1" applyProtection="1">
      <alignment vertical="center"/>
    </xf>
    <xf numFmtId="0" fontId="23" fillId="5" borderId="13" xfId="0" applyFont="1" applyFill="1" applyBorder="1" applyAlignment="1" applyProtection="1">
      <alignment vertical="center"/>
    </xf>
    <xf numFmtId="0" fontId="0" fillId="5" borderId="0" xfId="0" applyFont="1" applyFill="1" applyAlignment="1" applyProtection="1">
      <alignment horizontal="left" vertical="center"/>
    </xf>
    <xf numFmtId="0" fontId="30" fillId="7" borderId="0" xfId="0" applyFont="1" applyFill="1" applyAlignment="1" applyProtection="1">
      <alignment horizontal="left" vertical="center"/>
      <protection hidden="1"/>
    </xf>
    <xf numFmtId="0" fontId="28" fillId="7" borderId="0" xfId="0" applyFont="1" applyFill="1" applyAlignment="1" applyProtection="1">
      <alignment horizontal="center" vertical="center"/>
      <protection hidden="1"/>
    </xf>
    <xf numFmtId="0" fontId="31" fillId="5" borderId="1" xfId="0" applyFont="1" applyFill="1" applyBorder="1" applyAlignment="1" applyProtection="1">
      <alignment horizontal="right" vertical="center"/>
    </xf>
    <xf numFmtId="0" fontId="0" fillId="5" borderId="3" xfId="0" applyFont="1" applyFill="1" applyBorder="1" applyProtection="1">
      <alignment vertical="center"/>
    </xf>
    <xf numFmtId="0" fontId="2" fillId="5" borderId="3" xfId="0" applyFont="1" applyFill="1" applyBorder="1" applyProtection="1">
      <alignment vertical="center"/>
    </xf>
    <xf numFmtId="0" fontId="32" fillId="5" borderId="4" xfId="0" applyFont="1" applyFill="1" applyBorder="1" applyProtection="1">
      <alignment vertical="center"/>
    </xf>
    <xf numFmtId="0" fontId="32" fillId="5" borderId="0" xfId="0" applyFont="1" applyFill="1" applyProtection="1">
      <alignment vertical="center"/>
    </xf>
    <xf numFmtId="0" fontId="19" fillId="5" borderId="0" xfId="0" applyFont="1" applyFill="1" applyAlignment="1" applyProtection="1">
      <alignment horizontal="right" vertical="center"/>
    </xf>
    <xf numFmtId="0" fontId="19" fillId="5" borderId="0" xfId="0" applyFont="1" applyFill="1" applyAlignment="1" applyProtection="1">
      <alignment horizontal="center" vertical="center" wrapText="1"/>
    </xf>
    <xf numFmtId="189" fontId="19" fillId="5" borderId="0" xfId="0" applyNumberFormat="1" applyFont="1" applyFill="1" applyAlignment="1" applyProtection="1">
      <alignment horizontal="center" vertical="center"/>
    </xf>
    <xf numFmtId="0" fontId="32" fillId="5" borderId="0" xfId="0" applyFont="1" applyFill="1" applyAlignment="1" applyProtection="1">
      <alignment horizontal="right" vertical="center"/>
    </xf>
    <xf numFmtId="0" fontId="28" fillId="5" borderId="0" xfId="0" applyFont="1" applyFill="1" applyAlignment="1" applyProtection="1">
      <alignment horizontal="right" vertical="center"/>
    </xf>
    <xf numFmtId="0" fontId="0" fillId="5" borderId="0" xfId="0" applyNumberFormat="1" applyFont="1" applyFill="1" applyProtection="1">
      <alignment vertical="center"/>
      <protection locked="0"/>
    </xf>
    <xf numFmtId="0" fontId="32" fillId="5" borderId="0" xfId="0" applyNumberFormat="1" applyFont="1" applyFill="1" applyAlignment="1" applyProtection="1">
      <alignment vertical="center"/>
      <protection locked="0"/>
    </xf>
    <xf numFmtId="179" fontId="24" fillId="5" borderId="13" xfId="0" applyNumberFormat="1" applyFont="1" applyFill="1" applyBorder="1" applyAlignment="1" applyProtection="1">
      <alignment horizontal="right" vertical="center"/>
    </xf>
    <xf numFmtId="0" fontId="33" fillId="7" borderId="0" xfId="0" applyFont="1" applyFill="1" applyProtection="1">
      <alignment vertical="center"/>
      <protection hidden="1"/>
    </xf>
    <xf numFmtId="0" fontId="32" fillId="5" borderId="2" xfId="0" applyFont="1" applyFill="1" applyBorder="1" applyProtection="1">
      <alignment vertical="center"/>
    </xf>
    <xf numFmtId="0" fontId="32" fillId="5" borderId="6" xfId="0" applyFont="1" applyFill="1" applyBorder="1" applyProtection="1">
      <alignment vertical="center"/>
    </xf>
    <xf numFmtId="191" fontId="34" fillId="5" borderId="0" xfId="0" applyNumberFormat="1" applyFont="1" applyFill="1" applyProtection="1">
      <alignment vertical="center"/>
    </xf>
    <xf numFmtId="191" fontId="34" fillId="5" borderId="7" xfId="0" applyNumberFormat="1" applyFont="1" applyFill="1" applyBorder="1" applyProtection="1">
      <alignment vertical="center"/>
    </xf>
    <xf numFmtId="0" fontId="2" fillId="5" borderId="0" xfId="0" applyFont="1" applyFill="1" applyProtection="1">
      <alignment vertical="center"/>
    </xf>
    <xf numFmtId="0" fontId="2" fillId="5" borderId="7" xfId="0" applyFont="1" applyFill="1" applyBorder="1" applyProtection="1">
      <alignment vertical="center"/>
    </xf>
    <xf numFmtId="0" fontId="34" fillId="5" borderId="5" xfId="0" applyFont="1" applyFill="1" applyBorder="1" applyProtection="1">
      <alignment vertical="center"/>
    </xf>
    <xf numFmtId="0" fontId="32" fillId="5" borderId="0" xfId="0" applyFont="1" applyFill="1" applyAlignment="1" applyProtection="1">
      <alignment vertical="center"/>
    </xf>
    <xf numFmtId="191" fontId="19" fillId="0" borderId="9" xfId="0" applyNumberFormat="1" applyFont="1" applyBorder="1" applyProtection="1">
      <alignment vertical="center"/>
      <protection locked="0"/>
    </xf>
    <xf numFmtId="0" fontId="19" fillId="0" borderId="9" xfId="0" applyFont="1" applyBorder="1" applyProtection="1">
      <alignment vertical="center"/>
      <protection locked="0"/>
    </xf>
    <xf numFmtId="193" fontId="34" fillId="5" borderId="0" xfId="0" applyNumberFormat="1" applyFont="1" applyFill="1" applyProtection="1">
      <alignment vertical="center"/>
    </xf>
    <xf numFmtId="0" fontId="19" fillId="5" borderId="9" xfId="0" applyNumberFormat="1" applyFont="1" applyFill="1" applyBorder="1" applyProtection="1">
      <alignment vertical="center"/>
    </xf>
    <xf numFmtId="0" fontId="33" fillId="5" borderId="0" xfId="0" applyNumberFormat="1" applyFont="1" applyFill="1" applyAlignment="1" applyProtection="1">
      <alignment vertical="center"/>
    </xf>
    <xf numFmtId="0" fontId="32" fillId="0" borderId="20" xfId="0" applyFont="1" applyBorder="1" applyAlignment="1" applyProtection="1">
      <alignment vertical="center"/>
      <protection locked="0"/>
    </xf>
    <xf numFmtId="49" fontId="19" fillId="5" borderId="0" xfId="0" applyNumberFormat="1" applyFont="1" applyFill="1" applyAlignment="1" applyProtection="1">
      <alignment horizontal="distributed" vertical="center"/>
    </xf>
    <xf numFmtId="0" fontId="28" fillId="5" borderId="0" xfId="0" applyFont="1" applyFill="1" applyProtection="1">
      <alignment vertical="center"/>
    </xf>
    <xf numFmtId="0" fontId="19" fillId="5" borderId="0" xfId="0" applyFont="1" applyFill="1" applyAlignment="1" applyProtection="1">
      <alignment horizontal="center" vertical="center"/>
    </xf>
    <xf numFmtId="0" fontId="32" fillId="5" borderId="0" xfId="0" applyFont="1" applyFill="1" applyAlignment="1" applyProtection="1">
      <alignment horizontal="center" vertical="center"/>
    </xf>
    <xf numFmtId="193" fontId="19" fillId="0" borderId="9" xfId="0" applyNumberFormat="1" applyFont="1" applyBorder="1" applyProtection="1">
      <alignment vertical="center"/>
      <protection locked="0"/>
    </xf>
    <xf numFmtId="193" fontId="35" fillId="5" borderId="0" xfId="0" applyNumberFormat="1" applyFont="1" applyFill="1" applyAlignment="1" applyProtection="1">
      <alignment horizontal="center" vertical="center"/>
    </xf>
    <xf numFmtId="0" fontId="0" fillId="5" borderId="0" xfId="0" applyNumberFormat="1" applyFont="1" applyFill="1" applyAlignment="1" applyProtection="1">
      <alignment vertical="center"/>
      <protection locked="0"/>
    </xf>
    <xf numFmtId="0" fontId="0" fillId="0" borderId="0" xfId="0" applyFont="1" applyFill="1" applyProtection="1">
      <alignment vertical="center"/>
    </xf>
    <xf numFmtId="0" fontId="0" fillId="0" borderId="0" xfId="0" applyFont="1" applyProtection="1">
      <alignment vertical="center"/>
      <protection locked="0"/>
    </xf>
    <xf numFmtId="0" fontId="0" fillId="7" borderId="13" xfId="0" applyFill="1" applyBorder="1" applyAlignment="1" applyProtection="1">
      <alignment horizontal="center" vertical="center"/>
      <protection hidden="1"/>
    </xf>
    <xf numFmtId="0" fontId="0" fillId="7" borderId="9" xfId="0" applyFill="1" applyBorder="1" applyAlignment="1" applyProtection="1">
      <alignment horizontal="center" vertical="center"/>
      <protection hidden="1"/>
    </xf>
    <xf numFmtId="0" fontId="32" fillId="7" borderId="23" xfId="0" applyFont="1" applyFill="1" applyBorder="1" applyAlignment="1" applyProtection="1">
      <alignment horizontal="center" vertical="center"/>
      <protection hidden="1"/>
    </xf>
    <xf numFmtId="0" fontId="32" fillId="7" borderId="24" xfId="0" applyFont="1" applyFill="1" applyBorder="1" applyAlignment="1" applyProtection="1">
      <alignment horizontal="center" vertical="center"/>
      <protection hidden="1"/>
    </xf>
    <xf numFmtId="0" fontId="32" fillId="7" borderId="25" xfId="0" applyFont="1" applyFill="1" applyBorder="1" applyAlignment="1" applyProtection="1">
      <alignment horizontal="center" vertical="center"/>
      <protection hidden="1"/>
    </xf>
    <xf numFmtId="0" fontId="32" fillId="7" borderId="26" xfId="0" applyFont="1" applyFill="1" applyBorder="1" applyAlignment="1" applyProtection="1">
      <alignment horizontal="center" vertical="center"/>
      <protection hidden="1"/>
    </xf>
    <xf numFmtId="0" fontId="0" fillId="7" borderId="10" xfId="0" applyFont="1" applyFill="1" applyBorder="1" applyAlignment="1" applyProtection="1">
      <alignment horizontal="center" vertical="center"/>
      <protection hidden="1"/>
    </xf>
    <xf numFmtId="0" fontId="33" fillId="0" borderId="0" xfId="0" applyNumberFormat="1" applyFont="1" applyFill="1" applyAlignment="1" applyProtection="1">
      <alignment vertical="center"/>
      <protection locked="0"/>
    </xf>
    <xf numFmtId="0" fontId="0" fillId="0" borderId="0" xfId="0" applyNumberFormat="1" applyFont="1" applyProtection="1">
      <alignment vertical="center"/>
      <protection locked="0"/>
    </xf>
    <xf numFmtId="189" fontId="24" fillId="0" borderId="15" xfId="0" applyNumberFormat="1" applyFont="1" applyBorder="1" applyAlignment="1" applyProtection="1">
      <alignment vertical="center" shrinkToFit="1"/>
      <protection locked="0"/>
    </xf>
    <xf numFmtId="0" fontId="36" fillId="8" borderId="0" xfId="0" applyFont="1" applyFill="1" applyAlignment="1" applyProtection="1">
      <alignment horizontal="center" vertical="center"/>
      <protection hidden="1"/>
    </xf>
    <xf numFmtId="0" fontId="28" fillId="5" borderId="0" xfId="0" applyFont="1" applyFill="1" applyAlignment="1" applyProtection="1">
      <alignment horizontal="center" vertical="center" wrapText="1"/>
    </xf>
    <xf numFmtId="0" fontId="19" fillId="0" borderId="20" xfId="0" applyFont="1" applyBorder="1" applyAlignment="1" applyProtection="1">
      <alignment vertical="center"/>
      <protection locked="0"/>
    </xf>
    <xf numFmtId="0" fontId="32" fillId="5" borderId="0" xfId="0" applyFont="1" applyFill="1" applyAlignment="1" applyProtection="1">
      <alignment horizontal="center" vertical="center" wrapText="1"/>
    </xf>
    <xf numFmtId="0" fontId="19" fillId="0" borderId="9" xfId="0" applyNumberFormat="1" applyFont="1" applyBorder="1" applyProtection="1">
      <alignment vertical="center"/>
      <protection locked="0"/>
    </xf>
    <xf numFmtId="0" fontId="28" fillId="5" borderId="0" xfId="0" applyNumberFormat="1" applyFont="1" applyFill="1" applyProtection="1">
      <alignment vertical="center"/>
      <protection locked="0"/>
    </xf>
    <xf numFmtId="0" fontId="32" fillId="5" borderId="0" xfId="0" applyNumberFormat="1" applyFont="1" applyFill="1" applyProtection="1">
      <alignment vertical="center"/>
    </xf>
    <xf numFmtId="10" fontId="32" fillId="5" borderId="0" xfId="0" applyNumberFormat="1" applyFont="1" applyFill="1" applyProtection="1">
      <alignment vertical="center"/>
    </xf>
    <xf numFmtId="0" fontId="0" fillId="7" borderId="15" xfId="0" applyFill="1" applyBorder="1" applyAlignment="1" applyProtection="1">
      <alignment horizontal="center" vertical="center"/>
      <protection hidden="1"/>
    </xf>
    <xf numFmtId="191" fontId="0" fillId="7" borderId="9" xfId="0" applyNumberFormat="1" applyFill="1" applyBorder="1" applyAlignment="1" applyProtection="1">
      <alignment horizontal="center" vertical="center"/>
      <protection hidden="1"/>
    </xf>
    <xf numFmtId="0" fontId="31" fillId="0" borderId="0" xfId="0" applyNumberFormat="1" applyFont="1" applyFill="1" applyAlignment="1" applyProtection="1">
      <alignment vertical="center"/>
      <protection locked="0"/>
    </xf>
    <xf numFmtId="0" fontId="0" fillId="0" borderId="0" xfId="0" applyFont="1" applyFill="1">
      <alignment vertical="center"/>
    </xf>
    <xf numFmtId="0" fontId="0" fillId="5" borderId="0" xfId="0" applyFont="1" applyFill="1">
      <alignment vertical="center"/>
    </xf>
    <xf numFmtId="0" fontId="13" fillId="5" borderId="5" xfId="0" applyFont="1" applyFill="1" applyBorder="1" applyAlignment="1">
      <alignment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vertical="center"/>
    </xf>
    <xf numFmtId="178" fontId="37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5" borderId="9" xfId="0" applyFont="1" applyFill="1" applyBorder="1" applyAlignment="1">
      <alignment horizontal="center" vertical="center"/>
    </xf>
    <xf numFmtId="14" fontId="3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39" fillId="5" borderId="9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vertical="top"/>
    </xf>
    <xf numFmtId="0" fontId="0" fillId="5" borderId="2" xfId="0" applyFont="1" applyFill="1" applyBorder="1" applyAlignment="1">
      <alignment vertical="top"/>
    </xf>
    <xf numFmtId="0" fontId="0" fillId="5" borderId="3" xfId="0" applyFont="1" applyFill="1" applyBorder="1" applyAlignment="1">
      <alignment vertical="top"/>
    </xf>
    <xf numFmtId="0" fontId="0" fillId="5" borderId="0" xfId="0" applyFont="1" applyFill="1" applyAlignment="1">
      <alignment vertical="top"/>
    </xf>
    <xf numFmtId="0" fontId="0" fillId="5" borderId="4" xfId="0" applyFont="1" applyFill="1" applyBorder="1" applyAlignment="1">
      <alignment vertical="top"/>
    </xf>
    <xf numFmtId="0" fontId="0" fillId="5" borderId="5" xfId="0" applyFont="1" applyFill="1" applyBorder="1" applyAlignment="1">
      <alignment vertical="top"/>
    </xf>
    <xf numFmtId="0" fontId="19" fillId="5" borderId="0" xfId="0" applyFont="1" applyFill="1" applyAlignment="1">
      <alignment vertical="center" wrapText="1"/>
    </xf>
    <xf numFmtId="0" fontId="8" fillId="5" borderId="0" xfId="0" applyFont="1" applyFill="1" applyAlignment="1">
      <alignment vertical="center"/>
    </xf>
    <xf numFmtId="0" fontId="0" fillId="5" borderId="10" xfId="0" applyFont="1" applyFill="1" applyBorder="1" applyAlignment="1">
      <alignment vertical="center" wrapText="1"/>
    </xf>
    <xf numFmtId="0" fontId="9" fillId="5" borderId="0" xfId="0" applyFont="1" applyFill="1" applyAlignment="1">
      <alignment horizontal="left" vertical="center"/>
    </xf>
    <xf numFmtId="0" fontId="0" fillId="5" borderId="27" xfId="0" applyFont="1" applyFill="1" applyBorder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178" fontId="40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5" borderId="6" xfId="0" applyFont="1" applyFill="1" applyBorder="1" applyAlignment="1">
      <alignment vertical="top"/>
    </xf>
    <xf numFmtId="0" fontId="0" fillId="5" borderId="7" xfId="0" applyFont="1" applyFill="1" applyBorder="1" applyAlignment="1">
      <alignment vertical="top"/>
    </xf>
    <xf numFmtId="0" fontId="0" fillId="5" borderId="8" xfId="0" applyFont="1" applyFill="1" applyBorder="1" applyAlignment="1">
      <alignment vertical="top"/>
    </xf>
    <xf numFmtId="0" fontId="24" fillId="5" borderId="0" xfId="0" applyFont="1" applyFill="1" applyAlignment="1">
      <alignment horizontal="justify" vertical="center" wrapText="1"/>
    </xf>
    <xf numFmtId="0" fontId="41" fillId="0" borderId="0" xfId="0" applyFont="1" applyFill="1">
      <alignment vertical="center"/>
    </xf>
    <xf numFmtId="0" fontId="32" fillId="0" borderId="20" xfId="0" applyFont="1" applyFill="1" applyBorder="1" applyProtection="1">
      <alignment vertical="center"/>
      <protection locked="0"/>
    </xf>
    <xf numFmtId="0" fontId="0" fillId="0" borderId="30" xfId="0" applyFont="1" applyFill="1" applyBorder="1" applyProtection="1">
      <alignment vertical="center"/>
      <protection locked="0"/>
    </xf>
    <xf numFmtId="0" fontId="42" fillId="5" borderId="0" xfId="0" applyFont="1" applyFill="1" applyAlignment="1">
      <alignment vertical="center" wrapText="1"/>
    </xf>
    <xf numFmtId="0" fontId="43" fillId="0" borderId="0" xfId="0" applyFont="1" applyFill="1">
      <alignment vertical="center"/>
    </xf>
    <xf numFmtId="176" fontId="0" fillId="0" borderId="0" xfId="0" applyNumberFormat="1" applyFont="1" applyFill="1">
      <alignment vertical="center"/>
    </xf>
    <xf numFmtId="0" fontId="8" fillId="5" borderId="0" xfId="0" applyFont="1" applyFill="1" applyAlignment="1">
      <alignment horizontal="left"/>
    </xf>
    <xf numFmtId="0" fontId="15" fillId="5" borderId="10" xfId="0" applyFont="1" applyFill="1" applyBorder="1" applyAlignment="1">
      <alignment horizontal="center"/>
    </xf>
    <xf numFmtId="0" fontId="15" fillId="5" borderId="11" xfId="0" applyFont="1" applyFill="1" applyBorder="1" applyAlignment="1">
      <alignment horizontal="center"/>
    </xf>
    <xf numFmtId="0" fontId="15" fillId="5" borderId="13" xfId="0" applyFont="1" applyFill="1" applyBorder="1" applyAlignment="1">
      <alignment horizontal="center"/>
    </xf>
    <xf numFmtId="0" fontId="9" fillId="5" borderId="0" xfId="0" applyFont="1" applyFill="1" applyAlignment="1">
      <alignment horizontal="left" vertical="top"/>
    </xf>
    <xf numFmtId="0" fontId="17" fillId="5" borderId="0" xfId="0" applyFont="1" applyFill="1" applyAlignment="1">
      <alignment horizontal="center" vertical="center"/>
    </xf>
    <xf numFmtId="0" fontId="0" fillId="5" borderId="5" xfId="0" applyFont="1" applyFill="1" applyBorder="1" applyAlignment="1">
      <alignment horizontal="right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2" fillId="0" borderId="10" xfId="0" applyFont="1" applyFill="1" applyBorder="1" applyAlignment="1" applyProtection="1">
      <alignment horizontal="center" vertical="center" shrinkToFit="1"/>
      <protection locked="0"/>
    </xf>
    <xf numFmtId="0" fontId="2" fillId="0" borderId="13" xfId="0" applyFont="1" applyFill="1" applyBorder="1" applyAlignment="1" applyProtection="1">
      <alignment horizontal="center" vertical="center" shrinkToFit="1"/>
      <protection locked="0"/>
    </xf>
    <xf numFmtId="0" fontId="0" fillId="0" borderId="10" xfId="0" applyFont="1" applyFill="1" applyBorder="1" applyAlignment="1" applyProtection="1">
      <alignment horizontal="center" vertical="center" shrinkToFit="1"/>
      <protection locked="0"/>
    </xf>
    <xf numFmtId="0" fontId="2" fillId="0" borderId="11" xfId="0" applyFont="1" applyFill="1" applyBorder="1" applyAlignment="1" applyProtection="1">
      <alignment horizontal="center" vertical="center" shrinkToFit="1"/>
      <protection locked="0"/>
    </xf>
    <xf numFmtId="0" fontId="0" fillId="5" borderId="10" xfId="0" applyFont="1" applyFill="1" applyBorder="1" applyAlignment="1">
      <alignment horizontal="center" vertical="center" wrapText="1"/>
    </xf>
    <xf numFmtId="0" fontId="0" fillId="5" borderId="13" xfId="0" applyFont="1" applyFill="1" applyBorder="1" applyAlignment="1">
      <alignment horizontal="center" vertical="center" wrapText="1"/>
    </xf>
    <xf numFmtId="181" fontId="2" fillId="5" borderId="11" xfId="0" applyNumberFormat="1" applyFont="1" applyFill="1" applyBorder="1" applyAlignment="1">
      <alignment horizontal="right" vertical="center" wrapText="1"/>
    </xf>
    <xf numFmtId="181" fontId="2" fillId="5" borderId="13" xfId="0" applyNumberFormat="1" applyFont="1" applyFill="1" applyBorder="1" applyAlignment="1">
      <alignment horizontal="right" vertical="center" wrapText="1"/>
    </xf>
    <xf numFmtId="0" fontId="0" fillId="5" borderId="13" xfId="0" applyFont="1" applyFill="1" applyBorder="1" applyAlignment="1">
      <alignment horizontal="center" vertical="center"/>
    </xf>
    <xf numFmtId="49" fontId="2" fillId="0" borderId="9" xfId="0" applyNumberFormat="1" applyFont="1" applyFill="1" applyBorder="1" applyAlignment="1" applyProtection="1">
      <alignment horizontal="center" vertical="center" shrinkToFit="1"/>
      <protection locked="0"/>
    </xf>
    <xf numFmtId="177" fontId="38" fillId="0" borderId="11" xfId="0" applyNumberFormat="1" applyFont="1" applyFill="1" applyBorder="1" applyAlignment="1" applyProtection="1">
      <alignment horizontal="right" vertical="center" shrinkToFit="1"/>
      <protection locked="0"/>
    </xf>
    <xf numFmtId="177" fontId="2" fillId="0" borderId="11" xfId="0" applyNumberFormat="1" applyFont="1" applyFill="1" applyBorder="1" applyAlignment="1" applyProtection="1">
      <alignment horizontal="right" vertical="center" shrinkToFit="1"/>
      <protection locked="0"/>
    </xf>
    <xf numFmtId="177" fontId="2" fillId="0" borderId="13" xfId="0" applyNumberFormat="1" applyFont="1" applyFill="1" applyBorder="1" applyAlignment="1" applyProtection="1">
      <alignment horizontal="right" vertical="center" shrinkToFit="1"/>
      <protection locked="0"/>
    </xf>
    <xf numFmtId="0" fontId="0" fillId="5" borderId="9" xfId="0" applyFont="1" applyFill="1" applyBorder="1" applyAlignment="1">
      <alignment horizontal="justify" vertical="center"/>
    </xf>
    <xf numFmtId="0" fontId="0" fillId="0" borderId="9" xfId="0" applyFont="1" applyFill="1" applyBorder="1" applyAlignment="1" applyProtection="1">
      <alignment horizontal="justify" vertical="center" shrinkToFit="1"/>
      <protection locked="0"/>
    </xf>
    <xf numFmtId="0" fontId="32" fillId="5" borderId="0" xfId="0" applyFont="1" applyFill="1" applyAlignment="1">
      <alignment horizontal="left" vertical="center"/>
    </xf>
    <xf numFmtId="178" fontId="37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178" fontId="37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178" fontId="40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10" xfId="0" applyFont="1" applyFill="1" applyBorder="1" applyAlignment="1" applyProtection="1">
      <alignment horizontal="center" vertical="center" wrapText="1"/>
      <protection locked="0"/>
    </xf>
    <xf numFmtId="0" fontId="0" fillId="0" borderId="11" xfId="0" applyFont="1" applyFill="1" applyBorder="1" applyAlignment="1" applyProtection="1">
      <alignment horizontal="center" vertical="center" wrapText="1"/>
      <protection locked="0"/>
    </xf>
    <xf numFmtId="0" fontId="0" fillId="0" borderId="13" xfId="0" applyFont="1" applyFill="1" applyBorder="1" applyAlignment="1" applyProtection="1">
      <alignment horizontal="center" vertical="center" wrapText="1"/>
      <protection locked="0"/>
    </xf>
    <xf numFmtId="0" fontId="0" fillId="0" borderId="2" xfId="0" applyFont="1" applyFill="1" applyBorder="1" applyAlignment="1" applyProtection="1">
      <alignment horizontal="center" vertical="center" wrapText="1"/>
      <protection locked="0"/>
    </xf>
    <xf numFmtId="0" fontId="0" fillId="0" borderId="6" xfId="0" applyFont="1" applyFill="1" applyBorder="1" applyAlignment="1" applyProtection="1">
      <alignment horizontal="center" vertical="center" wrapText="1"/>
      <protection locked="0"/>
    </xf>
    <xf numFmtId="0" fontId="38" fillId="0" borderId="11" xfId="0" applyFont="1" applyFill="1" applyBorder="1" applyAlignment="1" applyProtection="1">
      <alignment horizontal="center" vertical="center" wrapText="1"/>
      <protection locked="0"/>
    </xf>
    <xf numFmtId="0" fontId="2" fillId="0" borderId="11" xfId="0" applyFont="1" applyFill="1" applyBorder="1" applyAlignment="1" applyProtection="1">
      <alignment horizontal="center" vertical="center" wrapText="1"/>
      <protection locked="0"/>
    </xf>
    <xf numFmtId="0" fontId="2" fillId="0" borderId="13" xfId="0" applyFont="1" applyFill="1" applyBorder="1" applyAlignment="1" applyProtection="1">
      <alignment horizontal="center" vertical="center" wrapText="1"/>
      <protection locked="0"/>
    </xf>
    <xf numFmtId="14" fontId="38" fillId="0" borderId="28" xfId="0" applyNumberFormat="1" applyFont="1" applyFill="1" applyBorder="1" applyAlignment="1" applyProtection="1">
      <alignment horizontal="center" vertical="center" wrapText="1"/>
      <protection locked="0"/>
    </xf>
    <xf numFmtId="14" fontId="2" fillId="0" borderId="28" xfId="0" applyNumberFormat="1" applyFont="1" applyFill="1" applyBorder="1" applyAlignment="1" applyProtection="1">
      <alignment horizontal="center" vertical="center" wrapText="1"/>
      <protection locked="0"/>
    </xf>
    <xf numFmtId="0" fontId="38" fillId="0" borderId="28" xfId="0" applyFont="1" applyFill="1" applyBorder="1" applyAlignment="1" applyProtection="1">
      <alignment horizontal="center" vertical="center"/>
      <protection locked="0"/>
    </xf>
    <xf numFmtId="0" fontId="2" fillId="0" borderId="28" xfId="0" applyFont="1" applyFill="1" applyBorder="1" applyAlignment="1" applyProtection="1">
      <alignment horizontal="center" vertical="center"/>
      <protection locked="0"/>
    </xf>
    <xf numFmtId="0" fontId="2" fillId="0" borderId="29" xfId="0" applyFont="1" applyFill="1" applyBorder="1" applyAlignment="1" applyProtection="1">
      <alignment horizontal="center" vertical="center"/>
      <protection locked="0"/>
    </xf>
    <xf numFmtId="0" fontId="0" fillId="0" borderId="28" xfId="0" applyFont="1" applyFill="1" applyBorder="1" applyAlignment="1" applyProtection="1">
      <alignment horizontal="center" vertical="center" wrapText="1"/>
      <protection locked="0"/>
    </xf>
    <xf numFmtId="0" fontId="0" fillId="0" borderId="29" xfId="0" applyFont="1" applyFill="1" applyBorder="1" applyAlignment="1" applyProtection="1">
      <alignment horizontal="center" vertical="center" wrapText="1"/>
      <protection locked="0"/>
    </xf>
    <xf numFmtId="0" fontId="0" fillId="0" borderId="4" xfId="0" applyFont="1" applyFill="1" applyBorder="1" applyAlignment="1" applyProtection="1">
      <alignment horizontal="center" vertical="center" wrapText="1"/>
      <protection locked="0"/>
    </xf>
    <xf numFmtId="0" fontId="0" fillId="0" borderId="5" xfId="0" applyFont="1" applyFill="1" applyBorder="1" applyAlignment="1" applyProtection="1">
      <alignment horizontal="center" vertical="center" wrapText="1"/>
      <protection locked="0"/>
    </xf>
    <xf numFmtId="0" fontId="0" fillId="0" borderId="8" xfId="0" applyFont="1" applyFill="1" applyBorder="1" applyAlignment="1" applyProtection="1">
      <alignment horizontal="center" vertical="center" wrapText="1"/>
      <protection locked="0"/>
    </xf>
    <xf numFmtId="0" fontId="0" fillId="0" borderId="5" xfId="0" applyFont="1" applyFill="1" applyBorder="1" applyAlignment="1" applyProtection="1">
      <alignment horizontal="center" vertical="center"/>
      <protection locked="0"/>
    </xf>
    <xf numFmtId="0" fontId="0" fillId="0" borderId="8" xfId="0" applyFont="1" applyFill="1" applyBorder="1" applyAlignment="1" applyProtection="1">
      <alignment horizontal="center" vertical="center"/>
      <protection locked="0"/>
    </xf>
    <xf numFmtId="0" fontId="39" fillId="5" borderId="1" xfId="0" applyFont="1" applyFill="1" applyBorder="1" applyAlignment="1">
      <alignment horizontal="left" vertical="center"/>
    </xf>
    <xf numFmtId="0" fontId="0" fillId="5" borderId="2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/>
    </xf>
    <xf numFmtId="0" fontId="39" fillId="5" borderId="4" xfId="0" applyFont="1" applyFill="1" applyBorder="1" applyAlignment="1">
      <alignment horizontal="left" vertical="center"/>
    </xf>
    <xf numFmtId="0" fontId="0" fillId="5" borderId="5" xfId="0" applyFont="1" applyFill="1" applyBorder="1" applyAlignment="1">
      <alignment horizontal="left" vertical="center"/>
    </xf>
    <xf numFmtId="0" fontId="0" fillId="5" borderId="8" xfId="0" applyFont="1" applyFill="1" applyBorder="1" applyAlignment="1">
      <alignment horizontal="left" vertical="center"/>
    </xf>
    <xf numFmtId="0" fontId="32" fillId="5" borderId="1" xfId="0" applyFont="1" applyFill="1" applyBorder="1" applyAlignment="1" applyProtection="1">
      <alignment vertical="center"/>
      <protection locked="0"/>
    </xf>
    <xf numFmtId="0" fontId="32" fillId="5" borderId="2" xfId="0" applyFont="1" applyFill="1" applyBorder="1" applyAlignment="1" applyProtection="1">
      <alignment vertical="center"/>
      <protection locked="0"/>
    </xf>
    <xf numFmtId="0" fontId="32" fillId="5" borderId="6" xfId="0" applyFont="1" applyFill="1" applyBorder="1" applyAlignment="1" applyProtection="1">
      <alignment vertical="center"/>
      <protection locked="0"/>
    </xf>
    <xf numFmtId="0" fontId="0" fillId="0" borderId="3" xfId="0" applyFont="1" applyFill="1" applyBorder="1" applyAlignment="1" applyProtection="1">
      <alignment vertical="center"/>
      <protection locked="0"/>
    </xf>
    <xf numFmtId="0" fontId="0" fillId="0" borderId="0" xfId="0" applyFont="1" applyFill="1" applyAlignment="1" applyProtection="1">
      <alignment vertical="center"/>
      <protection locked="0"/>
    </xf>
    <xf numFmtId="0" fontId="0" fillId="0" borderId="7" xfId="0" applyFont="1" applyFill="1" applyBorder="1" applyAlignment="1" applyProtection="1">
      <alignment vertical="center"/>
      <protection locked="0"/>
    </xf>
    <xf numFmtId="0" fontId="0" fillId="5" borderId="0" xfId="0" applyFont="1" applyFill="1" applyAlignment="1">
      <alignment vertical="top"/>
    </xf>
    <xf numFmtId="0" fontId="0" fillId="5" borderId="7" xfId="0" applyFont="1" applyFill="1" applyBorder="1" applyAlignment="1">
      <alignment vertical="top"/>
    </xf>
    <xf numFmtId="0" fontId="28" fillId="5" borderId="4" xfId="0" applyFont="1" applyFill="1" applyBorder="1" applyAlignment="1" applyProtection="1">
      <alignment vertical="center"/>
      <protection locked="0"/>
    </xf>
    <xf numFmtId="0" fontId="28" fillId="5" borderId="5" xfId="0" applyFont="1" applyFill="1" applyBorder="1" applyAlignment="1" applyProtection="1">
      <alignment vertical="center"/>
      <protection locked="0"/>
    </xf>
    <xf numFmtId="0" fontId="28" fillId="5" borderId="8" xfId="0" applyFont="1" applyFill="1" applyBorder="1" applyAlignment="1" applyProtection="1">
      <alignment vertical="center"/>
      <protection locked="0"/>
    </xf>
    <xf numFmtId="0" fontId="0" fillId="5" borderId="0" xfId="0" applyFont="1" applyFill="1" applyAlignment="1">
      <alignment horizontal="center" vertical="center"/>
    </xf>
    <xf numFmtId="0" fontId="28" fillId="5" borderId="0" xfId="0" applyFont="1" applyFill="1" applyAlignment="1">
      <alignment horizontal="justify" vertical="justify"/>
    </xf>
    <xf numFmtId="0" fontId="0" fillId="5" borderId="9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0" xfId="0" applyFont="1" applyFill="1" applyAlignment="1">
      <alignment horizontal="right" vertical="center"/>
    </xf>
    <xf numFmtId="0" fontId="2" fillId="5" borderId="0" xfId="0" applyFont="1" applyFill="1" applyAlignment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6" xfId="0" applyFont="1" applyFill="1" applyBorder="1" applyAlignment="1" applyProtection="1">
      <alignment horizontal="center" vertical="center"/>
      <protection locked="0"/>
    </xf>
    <xf numFmtId="0" fontId="1" fillId="0" borderId="4" xfId="0" applyFont="1" applyFill="1" applyBorder="1" applyAlignment="1" applyProtection="1">
      <alignment horizontal="center" vertical="center"/>
      <protection locked="0"/>
    </xf>
    <xf numFmtId="0" fontId="1" fillId="0" borderId="8" xfId="0" applyFont="1" applyFill="1" applyBorder="1" applyAlignment="1" applyProtection="1">
      <alignment horizontal="center" vertical="center"/>
      <protection locked="0"/>
    </xf>
    <xf numFmtId="0" fontId="0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0" fillId="5" borderId="6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 wrapText="1"/>
    </xf>
    <xf numFmtId="0" fontId="0" fillId="5" borderId="0" xfId="0" applyFont="1" applyFill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0" fontId="0" fillId="5" borderId="8" xfId="0" applyFont="1" applyFill="1" applyBorder="1" applyAlignment="1">
      <alignment horizontal="center" vertical="center" wrapText="1"/>
    </xf>
    <xf numFmtId="49" fontId="2" fillId="0" borderId="0" xfId="0" applyNumberFormat="1" applyFont="1" applyFill="1" applyAlignment="1" applyProtection="1">
      <alignment horizontal="center" vertical="center"/>
      <protection locked="0"/>
    </xf>
    <xf numFmtId="49" fontId="2" fillId="0" borderId="5" xfId="0" applyNumberFormat="1" applyFont="1" applyFill="1" applyBorder="1" applyAlignment="1" applyProtection="1">
      <alignment horizontal="center" vertical="center"/>
      <protection locked="0"/>
    </xf>
    <xf numFmtId="0" fontId="0" fillId="5" borderId="3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 wrapText="1"/>
    </xf>
    <xf numFmtId="1" fontId="2" fillId="3" borderId="2" xfId="0" applyNumberFormat="1" applyFont="1" applyFill="1" applyBorder="1" applyAlignment="1">
      <alignment horizontal="center" vertical="center" wrapText="1"/>
    </xf>
    <xf numFmtId="1" fontId="2" fillId="3" borderId="6" xfId="0" applyNumberFormat="1" applyFont="1" applyFill="1" applyBorder="1" applyAlignment="1">
      <alignment horizontal="center" vertical="center" wrapText="1"/>
    </xf>
    <xf numFmtId="1" fontId="2" fillId="3" borderId="4" xfId="0" applyNumberFormat="1" applyFont="1" applyFill="1" applyBorder="1" applyAlignment="1">
      <alignment horizontal="center" vertical="center" wrapText="1"/>
    </xf>
    <xf numFmtId="1" fontId="2" fillId="3" borderId="5" xfId="0" applyNumberFormat="1" applyFont="1" applyFill="1" applyBorder="1" applyAlignment="1">
      <alignment horizontal="center" vertical="center" wrapText="1"/>
    </xf>
    <xf numFmtId="1" fontId="2" fillId="3" borderId="8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 applyProtection="1">
      <alignment horizontal="left" vertical="top"/>
      <protection locked="0"/>
    </xf>
    <xf numFmtId="0" fontId="0" fillId="0" borderId="7" xfId="0" applyFont="1" applyFill="1" applyBorder="1" applyAlignment="1" applyProtection="1">
      <alignment horizontal="left" vertical="top"/>
      <protection locked="0"/>
    </xf>
    <xf numFmtId="0" fontId="27" fillId="5" borderId="0" xfId="0" applyFont="1" applyFill="1" applyAlignment="1">
      <alignment horizontal="left" vertical="center"/>
    </xf>
    <xf numFmtId="0" fontId="27" fillId="5" borderId="7" xfId="0" applyFont="1" applyFill="1" applyBorder="1" applyAlignment="1">
      <alignment horizontal="left" vertical="center"/>
    </xf>
    <xf numFmtId="188" fontId="2" fillId="3" borderId="1" xfId="0" applyNumberFormat="1" applyFont="1" applyFill="1" applyBorder="1" applyAlignment="1">
      <alignment horizontal="center" vertical="center" wrapText="1"/>
    </xf>
    <xf numFmtId="188" fontId="2" fillId="3" borderId="2" xfId="0" applyNumberFormat="1" applyFont="1" applyFill="1" applyBorder="1" applyAlignment="1">
      <alignment horizontal="center" vertical="center" wrapText="1"/>
    </xf>
    <xf numFmtId="188" fontId="2" fillId="3" borderId="6" xfId="0" applyNumberFormat="1" applyFont="1" applyFill="1" applyBorder="1" applyAlignment="1">
      <alignment horizontal="center" vertical="center" wrapText="1"/>
    </xf>
    <xf numFmtId="188" fontId="2" fillId="3" borderId="4" xfId="0" applyNumberFormat="1" applyFont="1" applyFill="1" applyBorder="1" applyAlignment="1">
      <alignment horizontal="center" vertical="center" wrapText="1"/>
    </xf>
    <xf numFmtId="188" fontId="2" fillId="3" borderId="5" xfId="0" applyNumberFormat="1" applyFont="1" applyFill="1" applyBorder="1" applyAlignment="1">
      <alignment horizontal="center" vertical="center" wrapText="1"/>
    </xf>
    <xf numFmtId="188" fontId="2" fillId="3" borderId="8" xfId="0" applyNumberFormat="1" applyFont="1" applyFill="1" applyBorder="1" applyAlignment="1">
      <alignment horizontal="center" vertical="center" wrapText="1"/>
    </xf>
    <xf numFmtId="0" fontId="0" fillId="0" borderId="9" xfId="0" applyFont="1" applyFill="1" applyBorder="1" applyAlignment="1" applyProtection="1">
      <alignment horizontal="center" vertical="center"/>
      <protection locked="0"/>
    </xf>
    <xf numFmtId="0" fontId="14" fillId="5" borderId="0" xfId="0" applyFont="1" applyFill="1" applyAlignment="1" applyProtection="1">
      <alignment horizontal="left"/>
    </xf>
    <xf numFmtId="0" fontId="15" fillId="5" borderId="0" xfId="0" applyFont="1" applyFill="1" applyAlignment="1" applyProtection="1">
      <alignment horizontal="right"/>
    </xf>
    <xf numFmtId="0" fontId="9" fillId="5" borderId="0" xfId="0" applyFont="1" applyFill="1" applyAlignment="1" applyProtection="1">
      <alignment horizontal="left" vertical="top"/>
    </xf>
    <xf numFmtId="0" fontId="22" fillId="5" borderId="0" xfId="0" applyFont="1" applyFill="1" applyAlignment="1" applyProtection="1">
      <alignment horizontal="center" vertical="center"/>
    </xf>
    <xf numFmtId="0" fontId="13" fillId="5" borderId="0" xfId="0" applyFont="1" applyFill="1" applyAlignment="1" applyProtection="1">
      <alignment horizontal="center" vertical="center"/>
    </xf>
    <xf numFmtId="0" fontId="2" fillId="5" borderId="0" xfId="0" applyFont="1" applyFill="1" applyAlignment="1" applyProtection="1">
      <alignment horizontal="center" vertical="center"/>
    </xf>
    <xf numFmtId="0" fontId="2" fillId="5" borderId="0" xfId="0" applyFont="1" applyFill="1" applyAlignment="1" applyProtection="1">
      <alignment vertical="center"/>
    </xf>
    <xf numFmtId="0" fontId="17" fillId="5" borderId="0" xfId="0" applyFont="1" applyFill="1" applyAlignment="1" applyProtection="1">
      <alignment horizontal="center" vertical="top"/>
    </xf>
    <xf numFmtId="0" fontId="23" fillId="5" borderId="1" xfId="0" applyFont="1" applyFill="1" applyBorder="1" applyAlignment="1" applyProtection="1">
      <alignment horizontal="left" vertical="center"/>
    </xf>
    <xf numFmtId="0" fontId="23" fillId="5" borderId="2" xfId="0" applyFont="1" applyFill="1" applyBorder="1" applyAlignment="1" applyProtection="1">
      <alignment horizontal="left" vertical="center"/>
    </xf>
    <xf numFmtId="0" fontId="23" fillId="5" borderId="10" xfId="0" applyFont="1" applyFill="1" applyBorder="1" applyAlignment="1" applyProtection="1">
      <alignment horizontal="left" vertical="center" wrapText="1"/>
    </xf>
    <xf numFmtId="0" fontId="23" fillId="5" borderId="11" xfId="0" applyFont="1" applyFill="1" applyBorder="1" applyAlignment="1" applyProtection="1">
      <alignment horizontal="left" vertical="center" wrapText="1"/>
    </xf>
    <xf numFmtId="0" fontId="23" fillId="5" borderId="13" xfId="0" applyFont="1" applyFill="1" applyBorder="1" applyAlignment="1" applyProtection="1">
      <alignment horizontal="left" vertical="center" wrapText="1"/>
    </xf>
    <xf numFmtId="199" fontId="24" fillId="0" borderId="11" xfId="0" applyNumberFormat="1" applyFont="1" applyBorder="1" applyAlignment="1" applyProtection="1">
      <alignment horizontal="center" vertical="center" shrinkToFit="1"/>
      <protection locked="0"/>
    </xf>
    <xf numFmtId="199" fontId="24" fillId="0" borderId="13" xfId="0" applyNumberFormat="1" applyFont="1" applyBorder="1" applyAlignment="1" applyProtection="1">
      <alignment horizontal="center" vertical="center" shrinkToFit="1"/>
      <protection locked="0"/>
    </xf>
    <xf numFmtId="199" fontId="24" fillId="0" borderId="9" xfId="4" applyNumberFormat="1" applyFont="1" applyBorder="1" applyAlignment="1" applyProtection="1">
      <alignment horizontal="center" vertical="center" shrinkToFit="1"/>
      <protection locked="0"/>
    </xf>
    <xf numFmtId="199" fontId="24" fillId="0" borderId="10" xfId="4" applyNumberFormat="1" applyFont="1" applyBorder="1" applyAlignment="1" applyProtection="1">
      <alignment horizontal="center" vertical="center" shrinkToFit="1"/>
      <protection locked="0"/>
    </xf>
    <xf numFmtId="189" fontId="24" fillId="5" borderId="10" xfId="0" applyNumberFormat="1" applyFont="1" applyFill="1" applyBorder="1" applyAlignment="1" applyProtection="1">
      <alignment horizontal="center" vertical="center"/>
    </xf>
    <xf numFmtId="189" fontId="24" fillId="5" borderId="11" xfId="0" applyNumberFormat="1" applyFont="1" applyFill="1" applyBorder="1" applyAlignment="1" applyProtection="1">
      <alignment horizontal="center" vertical="center"/>
    </xf>
    <xf numFmtId="189" fontId="24" fillId="5" borderId="13" xfId="0" applyNumberFormat="1" applyFont="1" applyFill="1" applyBorder="1" applyAlignment="1" applyProtection="1">
      <alignment horizontal="center" vertical="center"/>
    </xf>
    <xf numFmtId="0" fontId="24" fillId="5" borderId="10" xfId="0" applyFont="1" applyFill="1" applyBorder="1" applyAlignment="1" applyProtection="1">
      <alignment horizontal="left" vertical="center"/>
    </xf>
    <xf numFmtId="0" fontId="24" fillId="5" borderId="13" xfId="0" applyFont="1" applyFill="1" applyBorder="1" applyAlignment="1" applyProtection="1">
      <alignment horizontal="left" vertical="center"/>
    </xf>
    <xf numFmtId="0" fontId="24" fillId="5" borderId="2" xfId="0" applyFont="1" applyFill="1" applyBorder="1" applyAlignment="1" applyProtection="1">
      <alignment horizontal="center" vertical="center"/>
    </xf>
    <xf numFmtId="0" fontId="24" fillId="5" borderId="6" xfId="0" applyFont="1" applyFill="1" applyBorder="1" applyAlignment="1" applyProtection="1">
      <alignment horizontal="center" vertical="center"/>
    </xf>
    <xf numFmtId="184" fontId="24" fillId="0" borderId="11" xfId="0" applyNumberFormat="1" applyFont="1" applyFill="1" applyBorder="1" applyAlignment="1" applyProtection="1">
      <alignment horizontal="center" vertical="center"/>
      <protection locked="0"/>
    </xf>
    <xf numFmtId="184" fontId="24" fillId="0" borderId="13" xfId="0" applyNumberFormat="1" applyFont="1" applyFill="1" applyBorder="1" applyAlignment="1" applyProtection="1">
      <alignment horizontal="center" vertical="center"/>
      <protection locked="0"/>
    </xf>
    <xf numFmtId="193" fontId="23" fillId="0" borderId="11" xfId="0" applyNumberFormat="1" applyFont="1" applyFill="1" applyBorder="1" applyAlignment="1" applyProtection="1">
      <alignment horizontal="center" vertical="center"/>
      <protection locked="0"/>
    </xf>
    <xf numFmtId="0" fontId="24" fillId="5" borderId="11" xfId="0" applyFont="1" applyFill="1" applyBorder="1" applyAlignment="1" applyProtection="1">
      <alignment horizontal="center" vertical="center"/>
    </xf>
    <xf numFmtId="0" fontId="24" fillId="5" borderId="13" xfId="0" applyFont="1" applyFill="1" applyBorder="1" applyAlignment="1" applyProtection="1">
      <alignment horizontal="center" vertical="center"/>
    </xf>
    <xf numFmtId="0" fontId="0" fillId="7" borderId="10" xfId="0" applyFill="1" applyBorder="1" applyAlignment="1" applyProtection="1">
      <alignment horizontal="center" vertical="center"/>
      <protection hidden="1"/>
    </xf>
    <xf numFmtId="0" fontId="0" fillId="7" borderId="13" xfId="0" applyFill="1" applyBorder="1" applyAlignment="1" applyProtection="1">
      <alignment horizontal="center" vertical="center"/>
      <protection hidden="1"/>
    </xf>
    <xf numFmtId="189" fontId="24" fillId="0" borderId="11" xfId="0" applyNumberFormat="1" applyFont="1" applyBorder="1" applyAlignment="1" applyProtection="1">
      <alignment horizontal="center" vertical="center" shrinkToFit="1"/>
      <protection locked="0"/>
    </xf>
    <xf numFmtId="189" fontId="24" fillId="0" borderId="13" xfId="0" applyNumberFormat="1" applyFont="1" applyBorder="1" applyAlignment="1" applyProtection="1">
      <alignment horizontal="center" vertical="center" shrinkToFit="1"/>
      <protection locked="0"/>
    </xf>
    <xf numFmtId="0" fontId="23" fillId="5" borderId="11" xfId="0" applyFont="1" applyFill="1" applyBorder="1" applyAlignment="1" applyProtection="1">
      <alignment horizontal="left" vertical="center"/>
    </xf>
    <xf numFmtId="0" fontId="23" fillId="5" borderId="10" xfId="0" applyFont="1" applyFill="1" applyBorder="1" applyAlignment="1" applyProtection="1">
      <alignment horizontal="left" vertical="center"/>
    </xf>
    <xf numFmtId="0" fontId="23" fillId="5" borderId="13" xfId="0" applyFont="1" applyFill="1" applyBorder="1" applyAlignment="1" applyProtection="1">
      <alignment horizontal="left" vertical="center"/>
    </xf>
    <xf numFmtId="0" fontId="32" fillId="5" borderId="5" xfId="0" applyFont="1" applyFill="1" applyBorder="1" applyAlignment="1" applyProtection="1">
      <alignment vertical="center"/>
    </xf>
    <xf numFmtId="0" fontId="32" fillId="5" borderId="8" xfId="0" applyFont="1" applyFill="1" applyBorder="1" applyAlignment="1" applyProtection="1">
      <alignment vertical="center"/>
    </xf>
    <xf numFmtId="0" fontId="32" fillId="7" borderId="21" xfId="0" applyFont="1" applyFill="1" applyBorder="1" applyAlignment="1" applyProtection="1">
      <alignment horizontal="center" vertical="center"/>
      <protection hidden="1"/>
    </xf>
    <xf numFmtId="0" fontId="32" fillId="7" borderId="22" xfId="0" applyFont="1" applyFill="1" applyBorder="1" applyAlignment="1" applyProtection="1">
      <alignment horizontal="center" vertical="center"/>
      <protection hidden="1"/>
    </xf>
    <xf numFmtId="0" fontId="32" fillId="7" borderId="23" xfId="0" applyFont="1" applyFill="1" applyBorder="1" applyAlignment="1" applyProtection="1">
      <alignment horizontal="center" vertical="center"/>
      <protection hidden="1"/>
    </xf>
    <xf numFmtId="0" fontId="32" fillId="7" borderId="24" xfId="0" applyFont="1" applyFill="1" applyBorder="1" applyAlignment="1" applyProtection="1">
      <alignment horizontal="center" vertical="center"/>
      <protection hidden="1"/>
    </xf>
    <xf numFmtId="0" fontId="32" fillId="7" borderId="25" xfId="0" applyFont="1" applyFill="1" applyBorder="1" applyAlignment="1" applyProtection="1">
      <alignment horizontal="center" vertical="center"/>
      <protection hidden="1"/>
    </xf>
    <xf numFmtId="0" fontId="32" fillId="7" borderId="26" xfId="0" applyFont="1" applyFill="1" applyBorder="1" applyAlignment="1" applyProtection="1">
      <alignment horizontal="center" vertical="center"/>
      <protection hidden="1"/>
    </xf>
    <xf numFmtId="189" fontId="24" fillId="5" borderId="11" xfId="0" applyNumberFormat="1" applyFont="1" applyFill="1" applyBorder="1" applyAlignment="1" applyProtection="1">
      <alignment horizontal="center" vertical="center"/>
      <protection locked="0"/>
    </xf>
    <xf numFmtId="189" fontId="24" fillId="5" borderId="13" xfId="0" applyNumberFormat="1" applyFont="1" applyFill="1" applyBorder="1" applyAlignment="1" applyProtection="1">
      <alignment horizontal="center" vertical="center"/>
      <protection locked="0"/>
    </xf>
    <xf numFmtId="191" fontId="23" fillId="5" borderId="11" xfId="0" applyNumberFormat="1" applyFont="1" applyFill="1" applyBorder="1" applyAlignment="1" applyProtection="1">
      <alignment horizontal="left" vertical="center"/>
    </xf>
    <xf numFmtId="191" fontId="23" fillId="5" borderId="13" xfId="0" applyNumberFormat="1" applyFont="1" applyFill="1" applyBorder="1" applyAlignment="1" applyProtection="1">
      <alignment horizontal="left" vertical="center"/>
    </xf>
    <xf numFmtId="189" fontId="24" fillId="5" borderId="16" xfId="0" applyNumberFormat="1" applyFont="1" applyFill="1" applyBorder="1" applyAlignment="1" applyProtection="1">
      <alignment horizontal="center" vertical="center"/>
    </xf>
    <xf numFmtId="189" fontId="24" fillId="5" borderId="19" xfId="0" applyNumberFormat="1" applyFont="1" applyFill="1" applyBorder="1" applyAlignment="1" applyProtection="1">
      <alignment horizontal="center" vertical="center"/>
    </xf>
    <xf numFmtId="0" fontId="0" fillId="7" borderId="10" xfId="0" applyFont="1" applyFill="1" applyBorder="1" applyAlignment="1" applyProtection="1">
      <alignment horizontal="center" vertical="center"/>
      <protection hidden="1"/>
    </xf>
    <xf numFmtId="194" fontId="24" fillId="5" borderId="10" xfId="0" applyNumberFormat="1" applyFont="1" applyFill="1" applyBorder="1" applyAlignment="1" applyProtection="1">
      <alignment horizontal="right" vertical="center"/>
    </xf>
    <xf numFmtId="194" fontId="24" fillId="5" borderId="11" xfId="0" applyNumberFormat="1" applyFont="1" applyFill="1" applyBorder="1" applyAlignment="1" applyProtection="1">
      <alignment horizontal="right" vertical="center"/>
    </xf>
    <xf numFmtId="194" fontId="24" fillId="5" borderId="13" xfId="0" applyNumberFormat="1" applyFont="1" applyFill="1" applyBorder="1" applyAlignment="1" applyProtection="1">
      <alignment horizontal="right" vertical="center"/>
    </xf>
    <xf numFmtId="190" fontId="25" fillId="0" borderId="10" xfId="0" applyNumberFormat="1" applyFont="1" applyBorder="1" applyAlignment="1" applyProtection="1">
      <alignment horizontal="center" vertical="center" wrapText="1" shrinkToFit="1"/>
      <protection locked="0"/>
    </xf>
    <xf numFmtId="190" fontId="25" fillId="0" borderId="11" xfId="0" applyNumberFormat="1" applyFont="1" applyBorder="1" applyAlignment="1" applyProtection="1">
      <alignment horizontal="center" vertical="center" wrapText="1" shrinkToFit="1"/>
      <protection locked="0"/>
    </xf>
    <xf numFmtId="190" fontId="25" fillId="0" borderId="13" xfId="0" applyNumberFormat="1" applyFont="1" applyBorder="1" applyAlignment="1" applyProtection="1">
      <alignment horizontal="center" vertical="center" wrapText="1" shrinkToFit="1"/>
      <protection locked="0"/>
    </xf>
    <xf numFmtId="0" fontId="24" fillId="5" borderId="10" xfId="0" applyFont="1" applyFill="1" applyBorder="1" applyAlignment="1" applyProtection="1">
      <alignment horizontal="center" vertical="center"/>
    </xf>
    <xf numFmtId="182" fontId="25" fillId="0" borderId="10" xfId="0" applyNumberFormat="1" applyFont="1" applyBorder="1" applyAlignment="1" applyProtection="1">
      <alignment horizontal="left" vertical="center" wrapText="1" shrinkToFit="1"/>
      <protection locked="0"/>
    </xf>
    <xf numFmtId="182" fontId="25" fillId="0" borderId="11" xfId="0" applyNumberFormat="1" applyFont="1" applyBorder="1" applyAlignment="1" applyProtection="1">
      <alignment horizontal="left" vertical="center" wrapText="1" shrinkToFit="1"/>
      <protection locked="0"/>
    </xf>
    <xf numFmtId="182" fontId="25" fillId="0" borderId="13" xfId="0" applyNumberFormat="1" applyFont="1" applyBorder="1" applyAlignment="1" applyProtection="1">
      <alignment horizontal="left" vertical="center" wrapText="1" shrinkToFit="1"/>
      <protection locked="0"/>
    </xf>
    <xf numFmtId="186" fontId="24" fillId="5" borderId="1" xfId="0" applyNumberFormat="1" applyFont="1" applyFill="1" applyBorder="1" applyAlignment="1" applyProtection="1">
      <alignment horizontal="left" vertical="center"/>
      <protection locked="0"/>
    </xf>
    <xf numFmtId="186" fontId="24" fillId="5" borderId="2" xfId="0" applyNumberFormat="1" applyFont="1" applyFill="1" applyBorder="1" applyAlignment="1" applyProtection="1">
      <alignment horizontal="left" vertical="center"/>
      <protection locked="0"/>
    </xf>
    <xf numFmtId="182" fontId="24" fillId="5" borderId="10" xfId="0" applyNumberFormat="1" applyFont="1" applyFill="1" applyBorder="1" applyAlignment="1" applyProtection="1">
      <alignment horizontal="right" vertical="center"/>
    </xf>
    <xf numFmtId="182" fontId="24" fillId="5" borderId="11" xfId="0" applyNumberFormat="1" applyFont="1" applyFill="1" applyBorder="1" applyAlignment="1" applyProtection="1">
      <alignment horizontal="right" vertical="center"/>
    </xf>
    <xf numFmtId="182" fontId="24" fillId="5" borderId="13" xfId="0" applyNumberFormat="1" applyFont="1" applyFill="1" applyBorder="1" applyAlignment="1" applyProtection="1">
      <alignment horizontal="right" vertical="center"/>
    </xf>
    <xf numFmtId="0" fontId="24" fillId="5" borderId="11" xfId="0" applyFont="1" applyFill="1" applyBorder="1" applyAlignment="1" applyProtection="1">
      <alignment horizontal="left" vertical="center"/>
    </xf>
    <xf numFmtId="0" fontId="24" fillId="5" borderId="5" xfId="0" applyFont="1" applyFill="1" applyBorder="1" applyAlignment="1" applyProtection="1">
      <alignment horizontal="left" vertical="center"/>
    </xf>
    <xf numFmtId="0" fontId="24" fillId="5" borderId="8" xfId="0" applyFont="1" applyFill="1" applyBorder="1" applyAlignment="1" applyProtection="1">
      <alignment horizontal="left" vertical="center"/>
    </xf>
    <xf numFmtId="0" fontId="23" fillId="5" borderId="4" xfId="0" applyFont="1" applyFill="1" applyBorder="1" applyAlignment="1" applyProtection="1">
      <alignment horizontal="left" vertical="center"/>
    </xf>
    <xf numFmtId="0" fontId="31" fillId="5" borderId="0" xfId="0" applyFont="1" applyFill="1" applyAlignment="1" applyProtection="1">
      <alignment vertical="center"/>
    </xf>
    <xf numFmtId="183" fontId="24" fillId="0" borderId="10" xfId="0" applyNumberFormat="1" applyFont="1" applyBorder="1" applyAlignment="1" applyProtection="1">
      <alignment horizontal="center" vertical="center" shrinkToFit="1"/>
      <protection locked="0"/>
    </xf>
    <xf numFmtId="183" fontId="24" fillId="0" borderId="11" xfId="0" applyNumberFormat="1" applyFont="1" applyBorder="1" applyAlignment="1" applyProtection="1">
      <alignment horizontal="center" vertical="center" shrinkToFit="1"/>
      <protection locked="0"/>
    </xf>
    <xf numFmtId="183" fontId="24" fillId="0" borderId="11" xfId="0" applyNumberFormat="1" applyFont="1" applyBorder="1" applyAlignment="1" applyProtection="1">
      <alignment vertical="center" shrinkToFit="1"/>
      <protection locked="0"/>
    </xf>
    <xf numFmtId="201" fontId="23" fillId="5" borderId="10" xfId="0" applyNumberFormat="1" applyFont="1" applyFill="1" applyBorder="1" applyAlignment="1" applyProtection="1">
      <alignment horizontal="center" vertical="center" wrapText="1"/>
      <protection locked="0"/>
    </xf>
    <xf numFmtId="201" fontId="23" fillId="5" borderId="11" xfId="0" applyNumberFormat="1" applyFont="1" applyFill="1" applyBorder="1" applyAlignment="1" applyProtection="1">
      <alignment horizontal="center" vertical="center"/>
      <protection locked="0"/>
    </xf>
    <xf numFmtId="201" fontId="23" fillId="5" borderId="13" xfId="0" applyNumberFormat="1" applyFont="1" applyFill="1" applyBorder="1" applyAlignment="1" applyProtection="1">
      <alignment horizontal="center" vertical="center"/>
      <protection locked="0"/>
    </xf>
    <xf numFmtId="183" fontId="24" fillId="0" borderId="13" xfId="0" applyNumberFormat="1" applyFont="1" applyBorder="1" applyAlignment="1" applyProtection="1">
      <alignment horizontal="center" vertical="center" shrinkToFit="1"/>
      <protection locked="0"/>
    </xf>
    <xf numFmtId="193" fontId="23" fillId="5" borderId="11" xfId="0" applyNumberFormat="1" applyFont="1" applyFill="1" applyBorder="1" applyAlignment="1" applyProtection="1">
      <alignment horizontal="left" vertical="center"/>
    </xf>
    <xf numFmtId="0" fontId="23" fillId="5" borderId="17" xfId="0" applyFont="1" applyFill="1" applyBorder="1" applyAlignment="1" applyProtection="1">
      <alignment horizontal="left" vertical="center"/>
    </xf>
    <xf numFmtId="194" fontId="24" fillId="0" borderId="11" xfId="0" applyNumberFormat="1" applyFont="1" applyBorder="1" applyAlignment="1" applyProtection="1">
      <alignment horizontal="right" vertical="center"/>
      <protection locked="0"/>
    </xf>
    <xf numFmtId="194" fontId="24" fillId="0" borderId="13" xfId="0" applyNumberFormat="1" applyFont="1" applyBorder="1" applyAlignment="1" applyProtection="1">
      <alignment horizontal="right" vertical="center"/>
      <protection locked="0"/>
    </xf>
    <xf numFmtId="0" fontId="32" fillId="5" borderId="0" xfId="0" applyNumberFormat="1" applyFont="1" applyFill="1" applyAlignment="1" applyProtection="1">
      <alignment horizontal="right" vertical="center"/>
    </xf>
    <xf numFmtId="187" fontId="24" fillId="5" borderId="10" xfId="0" applyNumberFormat="1" applyFont="1" applyFill="1" applyBorder="1" applyAlignment="1" applyProtection="1">
      <alignment horizontal="right" vertical="center"/>
    </xf>
    <xf numFmtId="187" fontId="24" fillId="5" borderId="11" xfId="0" applyNumberFormat="1" applyFont="1" applyFill="1" applyBorder="1" applyAlignment="1" applyProtection="1">
      <alignment horizontal="right" vertical="center"/>
    </xf>
    <xf numFmtId="187" fontId="24" fillId="5" borderId="13" xfId="0" applyNumberFormat="1" applyFont="1" applyFill="1" applyBorder="1" applyAlignment="1" applyProtection="1">
      <alignment horizontal="right" vertical="center"/>
    </xf>
    <xf numFmtId="194" fontId="24" fillId="0" borderId="10" xfId="0" applyNumberFormat="1" applyFont="1" applyFill="1" applyBorder="1" applyAlignment="1" applyProtection="1">
      <alignment horizontal="right" vertical="center" wrapText="1"/>
      <protection locked="0"/>
    </xf>
    <xf numFmtId="194" fontId="24" fillId="0" borderId="11" xfId="0" applyNumberFormat="1" applyFont="1" applyFill="1" applyBorder="1" applyAlignment="1" applyProtection="1">
      <alignment horizontal="right" vertical="center"/>
      <protection locked="0"/>
    </xf>
    <xf numFmtId="194" fontId="24" fillId="0" borderId="13" xfId="0" applyNumberFormat="1" applyFont="1" applyFill="1" applyBorder="1" applyAlignment="1" applyProtection="1">
      <alignment horizontal="right" vertical="center"/>
      <protection locked="0"/>
    </xf>
    <xf numFmtId="193" fontId="24" fillId="5" borderId="11" xfId="0" applyNumberFormat="1" applyFont="1" applyFill="1" applyBorder="1" applyAlignment="1" applyProtection="1">
      <alignment horizontal="right" vertical="center"/>
    </xf>
    <xf numFmtId="179" fontId="24" fillId="5" borderId="10" xfId="0" applyNumberFormat="1" applyFont="1" applyFill="1" applyBorder="1" applyAlignment="1" applyProtection="1">
      <alignment horizontal="center" vertical="center"/>
    </xf>
    <xf numFmtId="179" fontId="24" fillId="5" borderId="11" xfId="0" applyNumberFormat="1" applyFont="1" applyFill="1" applyBorder="1" applyAlignment="1" applyProtection="1">
      <alignment horizontal="center" vertical="center"/>
    </xf>
    <xf numFmtId="0" fontId="23" fillId="5" borderId="0" xfId="0" applyFont="1" applyFill="1" applyAlignment="1" applyProtection="1">
      <alignment horizontal="center" vertical="center"/>
    </xf>
    <xf numFmtId="186" fontId="23" fillId="5" borderId="0" xfId="0" applyNumberFormat="1" applyFont="1" applyFill="1" applyAlignment="1" applyProtection="1">
      <alignment vertical="center"/>
      <protection locked="0"/>
    </xf>
    <xf numFmtId="0" fontId="28" fillId="0" borderId="0" xfId="0" applyFont="1" applyAlignment="1" applyProtection="1">
      <alignment horizontal="left" vertical="center"/>
    </xf>
    <xf numFmtId="0" fontId="24" fillId="5" borderId="2" xfId="0" applyNumberFormat="1" applyFont="1" applyFill="1" applyBorder="1" applyAlignment="1" applyProtection="1">
      <alignment horizontal="center" vertical="center" shrinkToFit="1"/>
    </xf>
    <xf numFmtId="0" fontId="24" fillId="5" borderId="5" xfId="0" applyNumberFormat="1" applyFont="1" applyFill="1" applyBorder="1" applyAlignment="1" applyProtection="1">
      <alignment horizontal="center" vertical="center" shrinkToFit="1"/>
    </xf>
    <xf numFmtId="0" fontId="24" fillId="5" borderId="6" xfId="0" applyNumberFormat="1" applyFont="1" applyFill="1" applyBorder="1" applyAlignment="1" applyProtection="1">
      <alignment horizontal="center" vertical="center" shrinkToFit="1"/>
    </xf>
    <xf numFmtId="0" fontId="24" fillId="5" borderId="8" xfId="0" applyNumberFormat="1" applyFont="1" applyFill="1" applyBorder="1" applyAlignment="1" applyProtection="1">
      <alignment horizontal="center" vertical="center" shrinkToFit="1"/>
    </xf>
    <xf numFmtId="0" fontId="24" fillId="5" borderId="1" xfId="0" applyFont="1" applyFill="1" applyBorder="1" applyAlignment="1" applyProtection="1">
      <alignment horizontal="center" vertical="center"/>
    </xf>
    <xf numFmtId="0" fontId="24" fillId="5" borderId="4" xfId="0" applyFont="1" applyFill="1" applyBorder="1" applyAlignment="1" applyProtection="1">
      <alignment horizontal="center" vertical="center"/>
    </xf>
    <xf numFmtId="0" fontId="24" fillId="5" borderId="5" xfId="0" applyFont="1" applyFill="1" applyBorder="1" applyAlignment="1" applyProtection="1">
      <alignment horizontal="center" vertical="center"/>
    </xf>
    <xf numFmtId="14" fontId="24" fillId="5" borderId="2" xfId="0" applyNumberFormat="1" applyFont="1" applyFill="1" applyBorder="1" applyAlignment="1" applyProtection="1">
      <alignment horizontal="center" vertical="center" shrinkToFit="1"/>
    </xf>
    <xf numFmtId="14" fontId="24" fillId="5" borderId="6" xfId="0" applyNumberFormat="1" applyFont="1" applyFill="1" applyBorder="1" applyAlignment="1" applyProtection="1">
      <alignment horizontal="center" vertical="center" shrinkToFit="1"/>
    </xf>
    <xf numFmtId="14" fontId="24" fillId="5" borderId="5" xfId="0" applyNumberFormat="1" applyFont="1" applyFill="1" applyBorder="1" applyAlignment="1" applyProtection="1">
      <alignment horizontal="center" vertical="center" shrinkToFit="1"/>
    </xf>
    <xf numFmtId="14" fontId="24" fillId="5" borderId="8" xfId="0" applyNumberFormat="1" applyFont="1" applyFill="1" applyBorder="1" applyAlignment="1" applyProtection="1">
      <alignment horizontal="center" vertical="center" shrinkToFit="1"/>
    </xf>
    <xf numFmtId="184" fontId="24" fillId="3" borderId="11" xfId="0" applyNumberFormat="1" applyFont="1" applyFill="1" applyBorder="1" applyAlignment="1" applyProtection="1">
      <alignment horizontal="center" vertical="center"/>
    </xf>
    <xf numFmtId="184" fontId="24" fillId="3" borderId="13" xfId="0" applyNumberFormat="1" applyFont="1" applyFill="1" applyBorder="1" applyAlignment="1" applyProtection="1">
      <alignment horizontal="center" vertical="center"/>
    </xf>
    <xf numFmtId="193" fontId="23" fillId="5" borderId="11" xfId="0" applyNumberFormat="1" applyFont="1" applyFill="1" applyBorder="1" applyAlignment="1" applyProtection="1">
      <alignment horizontal="center" vertical="center"/>
    </xf>
    <xf numFmtId="180" fontId="24" fillId="5" borderId="10" xfId="0" applyNumberFormat="1" applyFont="1" applyFill="1" applyBorder="1" applyAlignment="1" applyProtection="1">
      <alignment horizontal="right" vertical="center"/>
    </xf>
    <xf numFmtId="180" fontId="24" fillId="5" borderId="11" xfId="0" applyNumberFormat="1" applyFont="1" applyFill="1" applyBorder="1" applyAlignment="1" applyProtection="1">
      <alignment horizontal="right" vertical="center"/>
    </xf>
    <xf numFmtId="180" fontId="24" fillId="5" borderId="13" xfId="0" applyNumberFormat="1" applyFont="1" applyFill="1" applyBorder="1" applyAlignment="1" applyProtection="1">
      <alignment horizontal="right" vertical="center"/>
    </xf>
    <xf numFmtId="194" fontId="24" fillId="5" borderId="10" xfId="0" applyNumberFormat="1" applyFont="1" applyFill="1" applyBorder="1" applyAlignment="1" applyProtection="1">
      <alignment horizontal="right" vertical="center" wrapText="1"/>
      <protection locked="0"/>
    </xf>
    <xf numFmtId="194" fontId="24" fillId="5" borderId="11" xfId="0" applyNumberFormat="1" applyFont="1" applyFill="1" applyBorder="1" applyAlignment="1" applyProtection="1">
      <alignment horizontal="right" vertical="center"/>
      <protection locked="0"/>
    </xf>
    <xf numFmtId="194" fontId="24" fillId="5" borderId="13" xfId="0" applyNumberFormat="1" applyFont="1" applyFill="1" applyBorder="1" applyAlignment="1" applyProtection="1">
      <alignment horizontal="right" vertical="center"/>
      <protection locked="0"/>
    </xf>
    <xf numFmtId="179" fontId="24" fillId="5" borderId="10" xfId="0" applyNumberFormat="1" applyFont="1" applyFill="1" applyBorder="1" applyAlignment="1" applyProtection="1">
      <alignment horizontal="right" vertical="center"/>
    </xf>
    <xf numFmtId="179" fontId="24" fillId="5" borderId="11" xfId="0" applyNumberFormat="1" applyFont="1" applyFill="1" applyBorder="1" applyAlignment="1" applyProtection="1">
      <alignment horizontal="right" vertical="center"/>
    </xf>
    <xf numFmtId="179" fontId="24" fillId="5" borderId="13" xfId="0" applyNumberFormat="1" applyFont="1" applyFill="1" applyBorder="1" applyAlignment="1" applyProtection="1">
      <alignment horizontal="right" vertical="center"/>
    </xf>
    <xf numFmtId="0" fontId="14" fillId="5" borderId="0" xfId="0" applyFont="1" applyFill="1" applyAlignment="1">
      <alignment horizontal="left"/>
    </xf>
    <xf numFmtId="0" fontId="15" fillId="5" borderId="0" xfId="0" applyFont="1" applyFill="1" applyAlignment="1">
      <alignment horizontal="center"/>
    </xf>
    <xf numFmtId="0" fontId="13" fillId="5" borderId="0" xfId="0" applyFont="1" applyFill="1" applyAlignment="1">
      <alignment horizontal="right" vertical="center"/>
    </xf>
    <xf numFmtId="0" fontId="2" fillId="5" borderId="0" xfId="0" applyFont="1" applyFill="1" applyAlignment="1">
      <alignment horizontal="right" vertical="center"/>
    </xf>
    <xf numFmtId="0" fontId="2" fillId="5" borderId="5" xfId="0" applyFont="1" applyFill="1" applyBorder="1" applyAlignment="1">
      <alignment horizontal="center" vertical="center" shrinkToFit="1"/>
    </xf>
    <xf numFmtId="0" fontId="0" fillId="5" borderId="5" xfId="0" applyFill="1" applyBorder="1" applyAlignment="1">
      <alignment horizontal="right" vertical="center"/>
    </xf>
    <xf numFmtId="0" fontId="0" fillId="5" borderId="9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189" fontId="2" fillId="5" borderId="9" xfId="0" applyNumberFormat="1" applyFont="1" applyFill="1" applyBorder="1" applyAlignment="1">
      <alignment horizontal="center" vertical="center"/>
    </xf>
    <xf numFmtId="189" fontId="2" fillId="5" borderId="9" xfId="0" applyNumberFormat="1" applyFont="1" applyFill="1" applyBorder="1" applyAlignment="1">
      <alignment horizontal="center" vertical="center" shrinkToFit="1"/>
    </xf>
    <xf numFmtId="0" fontId="0" fillId="5" borderId="9" xfId="0" applyFont="1" applyFill="1" applyBorder="1" applyAlignment="1" applyProtection="1">
      <alignment horizontal="center" vertical="center" wrapText="1"/>
    </xf>
    <xf numFmtId="0" fontId="0" fillId="5" borderId="9" xfId="0" applyFill="1" applyBorder="1" applyAlignment="1" applyProtection="1">
      <alignment horizontal="center" vertical="center" wrapText="1"/>
    </xf>
    <xf numFmtId="0" fontId="0" fillId="5" borderId="10" xfId="0" applyFill="1" applyBorder="1" applyAlignment="1" applyProtection="1">
      <alignment horizontal="center" vertical="center" wrapText="1"/>
    </xf>
    <xf numFmtId="0" fontId="0" fillId="5" borderId="11" xfId="0" applyFill="1" applyBorder="1" applyAlignment="1" applyProtection="1">
      <alignment horizontal="center" vertical="center" wrapText="1"/>
    </xf>
    <xf numFmtId="0" fontId="0" fillId="5" borderId="13" xfId="0" applyFill="1" applyBorder="1" applyAlignment="1" applyProtection="1">
      <alignment horizontal="center" vertical="center" wrapText="1"/>
    </xf>
    <xf numFmtId="193" fontId="21" fillId="5" borderId="9" xfId="0" applyNumberFormat="1" applyFont="1" applyFill="1" applyBorder="1" applyAlignment="1" applyProtection="1">
      <alignment horizontal="center" vertical="center" wrapText="1"/>
    </xf>
    <xf numFmtId="193" fontId="21" fillId="5" borderId="10" xfId="0" applyNumberFormat="1" applyFont="1" applyFill="1" applyBorder="1" applyAlignment="1" applyProtection="1">
      <alignment horizontal="center" vertical="center" wrapText="1"/>
    </xf>
    <xf numFmtId="193" fontId="21" fillId="5" borderId="11" xfId="0" applyNumberFormat="1" applyFont="1" applyFill="1" applyBorder="1" applyAlignment="1" applyProtection="1">
      <alignment horizontal="center" vertical="center" wrapText="1"/>
    </xf>
    <xf numFmtId="193" fontId="21" fillId="5" borderId="13" xfId="0" applyNumberFormat="1" applyFont="1" applyFill="1" applyBorder="1" applyAlignment="1" applyProtection="1">
      <alignment horizontal="center" vertical="center" wrapText="1"/>
    </xf>
    <xf numFmtId="185" fontId="21" fillId="5" borderId="10" xfId="0" applyNumberFormat="1" applyFont="1" applyFill="1" applyBorder="1" applyAlignment="1" applyProtection="1">
      <alignment horizontal="center" vertical="center" wrapText="1"/>
    </xf>
    <xf numFmtId="185" fontId="21" fillId="5" borderId="11" xfId="0" applyNumberFormat="1" applyFont="1" applyFill="1" applyBorder="1" applyAlignment="1" applyProtection="1">
      <alignment horizontal="center" vertical="center" wrapText="1"/>
    </xf>
    <xf numFmtId="185" fontId="21" fillId="5" borderId="13" xfId="0" applyNumberFormat="1" applyFont="1" applyFill="1" applyBorder="1" applyAlignment="1" applyProtection="1">
      <alignment horizontal="center" vertical="center" wrapText="1"/>
    </xf>
    <xf numFmtId="0" fontId="0" fillId="5" borderId="0" xfId="0" applyFont="1" applyFill="1" applyAlignment="1">
      <alignment horizontal="left" vertical="center"/>
    </xf>
    <xf numFmtId="0" fontId="0" fillId="5" borderId="0" xfId="0" applyFill="1" applyAlignment="1">
      <alignment vertical="center"/>
    </xf>
    <xf numFmtId="0" fontId="0" fillId="0" borderId="0" xfId="0" applyNumberFormat="1" applyFont="1" applyAlignment="1" applyProtection="1">
      <alignment horizontal="left" vertical="center"/>
      <protection locked="0"/>
    </xf>
    <xf numFmtId="0" fontId="0" fillId="0" borderId="0" xfId="0" applyNumberFormat="1" applyAlignment="1" applyProtection="1">
      <alignment vertical="center"/>
      <protection locked="0"/>
    </xf>
    <xf numFmtId="0" fontId="0" fillId="0" borderId="0" xfId="0" applyAlignment="1">
      <alignment horizontal="center" vertical="center"/>
    </xf>
    <xf numFmtId="0" fontId="14" fillId="5" borderId="0" xfId="0" applyFont="1" applyFill="1" applyAlignment="1" applyProtection="1">
      <alignment horizontal="left"/>
      <protection locked="0"/>
    </xf>
    <xf numFmtId="0" fontId="15" fillId="5" borderId="0" xfId="0" applyFont="1" applyFill="1" applyAlignment="1" applyProtection="1">
      <alignment horizontal="center"/>
      <protection locked="0"/>
    </xf>
    <xf numFmtId="0" fontId="9" fillId="5" borderId="0" xfId="0" applyFont="1" applyFill="1" applyAlignment="1" applyProtection="1">
      <alignment horizontal="left" vertical="top"/>
      <protection locked="0"/>
    </xf>
    <xf numFmtId="0" fontId="13" fillId="5" borderId="0" xfId="0" applyFont="1" applyFill="1" applyAlignment="1" applyProtection="1">
      <alignment horizontal="right" vertical="center"/>
      <protection locked="0"/>
    </xf>
    <xf numFmtId="0" fontId="17" fillId="5" borderId="0" xfId="0" applyFont="1" applyFill="1" applyAlignment="1" applyProtection="1">
      <alignment horizontal="center" vertical="center"/>
      <protection locked="0"/>
    </xf>
    <xf numFmtId="0" fontId="0" fillId="5" borderId="0" xfId="0" applyFont="1" applyFill="1" applyAlignment="1" applyProtection="1">
      <alignment horizontal="right" vertical="center"/>
      <protection locked="0"/>
    </xf>
    <xf numFmtId="0" fontId="2" fillId="5" borderId="0" xfId="0" applyFont="1" applyFill="1" applyAlignment="1" applyProtection="1">
      <alignment horizontal="right" vertical="center"/>
      <protection locked="0"/>
    </xf>
    <xf numFmtId="0" fontId="2" fillId="5" borderId="5" xfId="0" applyFont="1" applyFill="1" applyBorder="1" applyAlignment="1" applyProtection="1">
      <alignment horizontal="center" vertical="center" shrinkToFit="1"/>
    </xf>
    <xf numFmtId="0" fontId="0" fillId="5" borderId="5" xfId="0" applyFont="1" applyFill="1" applyBorder="1" applyAlignment="1" applyProtection="1">
      <alignment horizontal="right" vertical="center"/>
      <protection locked="0"/>
    </xf>
    <xf numFmtId="0" fontId="0" fillId="5" borderId="5" xfId="0" applyFill="1" applyBorder="1" applyAlignment="1" applyProtection="1">
      <alignment horizontal="right" vertical="center"/>
      <protection locked="0"/>
    </xf>
    <xf numFmtId="0" fontId="0" fillId="5" borderId="9" xfId="0" applyFill="1" applyBorder="1" applyAlignment="1" applyProtection="1">
      <alignment horizontal="center" vertical="center" wrapText="1"/>
      <protection locked="0"/>
    </xf>
    <xf numFmtId="0" fontId="0" fillId="5" borderId="9" xfId="0" applyFill="1" applyBorder="1" applyAlignment="1" applyProtection="1">
      <alignment horizontal="center" vertical="center"/>
      <protection locked="0"/>
    </xf>
    <xf numFmtId="189" fontId="2" fillId="5" borderId="9" xfId="0" applyNumberFormat="1" applyFont="1" applyFill="1" applyBorder="1" applyAlignment="1" applyProtection="1">
      <alignment horizontal="center" vertical="center"/>
    </xf>
    <xf numFmtId="189" fontId="2" fillId="5" borderId="9" xfId="0" applyNumberFormat="1" applyFont="1" applyFill="1" applyBorder="1" applyAlignment="1" applyProtection="1">
      <alignment horizontal="center" vertical="center" shrinkToFit="1"/>
    </xf>
    <xf numFmtId="0" fontId="0" fillId="5" borderId="9" xfId="0" applyFont="1" applyFill="1" applyBorder="1" applyAlignment="1" applyProtection="1">
      <alignment horizontal="center" vertical="center" wrapText="1"/>
      <protection locked="0"/>
    </xf>
    <xf numFmtId="0" fontId="0" fillId="5" borderId="10" xfId="0" applyFill="1" applyBorder="1" applyAlignment="1" applyProtection="1">
      <alignment horizontal="center" vertical="center" wrapText="1"/>
      <protection locked="0"/>
    </xf>
    <xf numFmtId="0" fontId="0" fillId="5" borderId="11" xfId="0" applyFill="1" applyBorder="1" applyAlignment="1" applyProtection="1">
      <alignment horizontal="center" vertical="center" wrapText="1"/>
      <protection locked="0"/>
    </xf>
    <xf numFmtId="0" fontId="0" fillId="5" borderId="13" xfId="0" applyFill="1" applyBorder="1" applyAlignment="1" applyProtection="1">
      <alignment horizontal="center" vertical="center" wrapText="1"/>
      <protection locked="0"/>
    </xf>
    <xf numFmtId="0" fontId="0" fillId="5" borderId="0" xfId="0" applyFont="1" applyFill="1" applyAlignment="1" applyProtection="1">
      <alignment horizontal="left" vertical="center"/>
      <protection locked="0"/>
    </xf>
    <xf numFmtId="0" fontId="0" fillId="5" borderId="0" xfId="0" applyFill="1" applyAlignment="1" applyProtection="1">
      <alignment vertical="center"/>
      <protection locked="0"/>
    </xf>
    <xf numFmtId="0" fontId="0" fillId="5" borderId="9" xfId="0" applyFont="1" applyFill="1" applyBorder="1" applyAlignment="1" applyProtection="1">
      <alignment horizontal="left" vertical="center" wrapText="1"/>
    </xf>
    <xf numFmtId="0" fontId="0" fillId="5" borderId="9" xfId="0" applyFont="1" applyFill="1" applyBorder="1" applyAlignment="1" applyProtection="1">
      <alignment horizontal="left" vertical="center" wrapText="1"/>
      <protection locked="0"/>
    </xf>
    <xf numFmtId="0" fontId="7" fillId="0" borderId="3" xfId="0" applyFont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left" vertical="center" wrapText="1"/>
      <protection locked="0"/>
    </xf>
    <xf numFmtId="0" fontId="0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15" fillId="5" borderId="10" xfId="0" applyFont="1" applyFill="1" applyBorder="1" applyAlignment="1">
      <alignment horizontal="right" vertical="center"/>
    </xf>
    <xf numFmtId="0" fontId="15" fillId="5" borderId="11" xfId="0" applyFont="1" applyFill="1" applyBorder="1" applyAlignment="1">
      <alignment horizontal="right" vertical="center"/>
    </xf>
    <xf numFmtId="0" fontId="15" fillId="5" borderId="13" xfId="0" applyFont="1" applyFill="1" applyBorder="1" applyAlignment="1">
      <alignment horizontal="right" vertical="center"/>
    </xf>
    <xf numFmtId="0" fontId="10" fillId="5" borderId="0" xfId="0" applyFont="1" applyFill="1" applyAlignment="1">
      <alignment horizontal="left" vertical="top"/>
    </xf>
    <xf numFmtId="0" fontId="12" fillId="5" borderId="0" xfId="0" applyFont="1" applyFill="1" applyAlignment="1">
      <alignment horizontal="right" vertical="center"/>
    </xf>
    <xf numFmtId="0" fontId="0" fillId="5" borderId="0" xfId="0" applyFill="1" applyAlignment="1">
      <alignment horizontal="right" vertical="center"/>
    </xf>
    <xf numFmtId="0" fontId="11" fillId="5" borderId="0" xfId="0" applyFont="1" applyFill="1" applyAlignment="1">
      <alignment horizontal="center" vertical="center"/>
    </xf>
    <xf numFmtId="0" fontId="12" fillId="5" borderId="2" xfId="0" applyFont="1" applyFill="1" applyBorder="1" applyAlignment="1">
      <alignment horizontal="center" wrapText="1"/>
    </xf>
    <xf numFmtId="0" fontId="12" fillId="5" borderId="10" xfId="0" applyFont="1" applyFill="1" applyBorder="1" applyAlignment="1">
      <alignment horizontal="left" vertical="center"/>
    </xf>
    <xf numFmtId="0" fontId="12" fillId="5" borderId="11" xfId="0" applyFont="1" applyFill="1" applyBorder="1" applyAlignment="1">
      <alignment horizontal="left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left" vertical="center"/>
    </xf>
    <xf numFmtId="201" fontId="2" fillId="5" borderId="10" xfId="0" applyNumberFormat="1" applyFont="1" applyFill="1" applyBorder="1" applyAlignment="1">
      <alignment horizontal="center" vertical="center"/>
    </xf>
    <xf numFmtId="201" fontId="2" fillId="5" borderId="13" xfId="0" applyNumberFormat="1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left" vertical="center" wrapText="1"/>
    </xf>
    <xf numFmtId="0" fontId="12" fillId="5" borderId="13" xfId="0" applyFont="1" applyFill="1" applyBorder="1" applyAlignment="1">
      <alignment horizontal="left" vertical="center" wrapText="1"/>
    </xf>
    <xf numFmtId="196" fontId="2" fillId="5" borderId="10" xfId="0" applyNumberFormat="1" applyFont="1" applyFill="1" applyBorder="1" applyAlignment="1">
      <alignment horizontal="center" vertical="center"/>
    </xf>
    <xf numFmtId="196" fontId="2" fillId="5" borderId="13" xfId="0" applyNumberFormat="1" applyFont="1" applyFill="1" applyBorder="1" applyAlignment="1">
      <alignment horizontal="center" vertical="center"/>
    </xf>
    <xf numFmtId="196" fontId="2" fillId="5" borderId="9" xfId="0" applyNumberFormat="1" applyFont="1" applyFill="1" applyBorder="1" applyAlignment="1">
      <alignment horizontal="center" vertical="center"/>
    </xf>
    <xf numFmtId="0" fontId="0" fillId="5" borderId="13" xfId="0" applyFill="1" applyBorder="1" applyAlignment="1">
      <alignment vertical="center"/>
    </xf>
    <xf numFmtId="0" fontId="12" fillId="5" borderId="0" xfId="0" applyFont="1" applyFill="1" applyAlignment="1">
      <alignment horizontal="left" vertical="center"/>
    </xf>
    <xf numFmtId="193" fontId="2" fillId="5" borderId="9" xfId="0" applyNumberFormat="1" applyFont="1" applyFill="1" applyBorder="1" applyAlignment="1">
      <alignment horizontal="center" vertical="center"/>
    </xf>
    <xf numFmtId="203" fontId="2" fillId="5" borderId="9" xfId="0" applyNumberFormat="1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200" fontId="2" fillId="5" borderId="9" xfId="0" applyNumberFormat="1" applyFont="1" applyFill="1" applyBorder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2" fillId="5" borderId="6" xfId="0" applyFont="1" applyFill="1" applyBorder="1" applyAlignment="1">
      <alignment horizontal="center" vertical="center" shrinkToFit="1"/>
    </xf>
    <xf numFmtId="0" fontId="2" fillId="5" borderId="8" xfId="0" applyFont="1" applyFill="1" applyBorder="1" applyAlignment="1">
      <alignment horizontal="center" vertical="center" shrinkToFit="1"/>
    </xf>
    <xf numFmtId="0" fontId="2" fillId="5" borderId="2" xfId="0" applyFont="1" applyFill="1" applyBorder="1" applyAlignment="1">
      <alignment horizontal="center" vertical="center" shrinkToFit="1"/>
    </xf>
    <xf numFmtId="0" fontId="3" fillId="0" borderId="9" xfId="0" applyFont="1" applyBorder="1" applyAlignment="1" applyProtection="1">
      <alignment horizontal="center" vertical="center"/>
    </xf>
    <xf numFmtId="0" fontId="3" fillId="2" borderId="9" xfId="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7" xfId="0" applyBorder="1" applyAlignment="1">
      <alignment horizontal="left" vertical="top"/>
    </xf>
  </cellXfs>
  <cellStyles count="5">
    <cellStyle name="常规" xfId="0" builtinId="0"/>
    <cellStyle name="常规 12" xfId="2" xr:uid="{00000000-0005-0000-0000-000002000000}"/>
    <cellStyle name="常规 5" xfId="3" xr:uid="{00000000-0005-0000-0000-000003000000}"/>
    <cellStyle name="常规 6" xfId="1" xr:uid="{00000000-0005-0000-0000-000001000000}"/>
    <cellStyle name="货币" xfId="4" builtinId="4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12700</xdr:rowOff>
    </xdr:from>
    <xdr:to>
      <xdr:col>0</xdr:col>
      <xdr:colOff>438150</xdr:colOff>
      <xdr:row>2</xdr:row>
      <xdr:rowOff>25400</xdr:rowOff>
    </xdr:to>
    <xdr:pic>
      <xdr:nvPicPr>
        <xdr:cNvPr id="21348" name="Picture 2">
          <a:extLst>
            <a:ext uri="{FF2B5EF4-FFF2-40B4-BE49-F238E27FC236}">
              <a16:creationId xmlns:a16="http://schemas.microsoft.com/office/drawing/2014/main" id="{00000000-0008-0000-0000-0000645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500" y="12700"/>
          <a:ext cx="374650" cy="459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50800</xdr:colOff>
      <xdr:row>0</xdr:row>
      <xdr:rowOff>12700</xdr:rowOff>
    </xdr:from>
    <xdr:to>
      <xdr:col>25</xdr:col>
      <xdr:colOff>476250</xdr:colOff>
      <xdr:row>1</xdr:row>
      <xdr:rowOff>38100</xdr:rowOff>
    </xdr:to>
    <xdr:sp macro="" textlink="">
      <xdr:nvSpPr>
        <xdr:cNvPr id="89166" name="矩形 1">
          <a:extLst>
            <a:ext uri="{FF2B5EF4-FFF2-40B4-BE49-F238E27FC236}">
              <a16:creationId xmlns:a16="http://schemas.microsoft.com/office/drawing/2014/main" id="{00000000-0008-0000-0100-00004E5C0100}"/>
            </a:ext>
          </a:extLst>
        </xdr:cNvPr>
        <xdr:cNvSpPr>
          <a:spLocks noChangeArrowheads="1"/>
        </xdr:cNvSpPr>
      </xdr:nvSpPr>
      <xdr:spPr>
        <a:xfrm>
          <a:off x="4443095" y="12700"/>
          <a:ext cx="1490980" cy="234950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6350</xdr:colOff>
      <xdr:row>0</xdr:row>
      <xdr:rowOff>0</xdr:rowOff>
    </xdr:from>
    <xdr:to>
      <xdr:col>0</xdr:col>
      <xdr:colOff>400050</xdr:colOff>
      <xdr:row>2</xdr:row>
      <xdr:rowOff>0</xdr:rowOff>
    </xdr:to>
    <xdr:pic>
      <xdr:nvPicPr>
        <xdr:cNvPr id="89167" name="Picture 1">
          <a:extLst>
            <a:ext uri="{FF2B5EF4-FFF2-40B4-BE49-F238E27FC236}">
              <a16:creationId xmlns:a16="http://schemas.microsoft.com/office/drawing/2014/main" id="{00000000-0008-0000-0100-00004F5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50" y="0"/>
          <a:ext cx="3937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50800</xdr:colOff>
      <xdr:row>0</xdr:row>
      <xdr:rowOff>12700</xdr:rowOff>
    </xdr:from>
    <xdr:to>
      <xdr:col>25</xdr:col>
      <xdr:colOff>476250</xdr:colOff>
      <xdr:row>1</xdr:row>
      <xdr:rowOff>38100</xdr:rowOff>
    </xdr:to>
    <xdr:sp macro="" textlink="">
      <xdr:nvSpPr>
        <xdr:cNvPr id="38627" name="矩形 1">
          <a:extLst>
            <a:ext uri="{FF2B5EF4-FFF2-40B4-BE49-F238E27FC236}">
              <a16:creationId xmlns:a16="http://schemas.microsoft.com/office/drawing/2014/main" id="{00000000-0008-0000-0200-0000E3960000}"/>
            </a:ext>
          </a:extLst>
        </xdr:cNvPr>
        <xdr:cNvSpPr>
          <a:spLocks noChangeArrowheads="1"/>
        </xdr:cNvSpPr>
      </xdr:nvSpPr>
      <xdr:spPr>
        <a:xfrm>
          <a:off x="4443095" y="12700"/>
          <a:ext cx="1490980" cy="234950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6350</xdr:colOff>
      <xdr:row>0</xdr:row>
      <xdr:rowOff>0</xdr:rowOff>
    </xdr:from>
    <xdr:to>
      <xdr:col>0</xdr:col>
      <xdr:colOff>400050</xdr:colOff>
      <xdr:row>2</xdr:row>
      <xdr:rowOff>0</xdr:rowOff>
    </xdr:to>
    <xdr:pic>
      <xdr:nvPicPr>
        <xdr:cNvPr id="38628" name="Picture 1">
          <a:extLst>
            <a:ext uri="{FF2B5EF4-FFF2-40B4-BE49-F238E27FC236}">
              <a16:creationId xmlns:a16="http://schemas.microsoft.com/office/drawing/2014/main" id="{00000000-0008-0000-0200-0000E49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50" y="0"/>
          <a:ext cx="3937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6350</xdr:rowOff>
    </xdr:from>
    <xdr:to>
      <xdr:col>0</xdr:col>
      <xdr:colOff>579120</xdr:colOff>
      <xdr:row>2</xdr:row>
      <xdr:rowOff>38100</xdr:rowOff>
    </xdr:to>
    <xdr:pic>
      <xdr:nvPicPr>
        <xdr:cNvPr id="90268" name="Picture 8">
          <a:extLst>
            <a:ext uri="{FF2B5EF4-FFF2-40B4-BE49-F238E27FC236}">
              <a16:creationId xmlns:a16="http://schemas.microsoft.com/office/drawing/2014/main" id="{00000000-0008-0000-0300-00009C6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2400" y="6350"/>
          <a:ext cx="393065" cy="441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292100</xdr:colOff>
      <xdr:row>0</xdr:row>
      <xdr:rowOff>6350</xdr:rowOff>
    </xdr:from>
    <xdr:to>
      <xdr:col>12</xdr:col>
      <xdr:colOff>680085</xdr:colOff>
      <xdr:row>1</xdr:row>
      <xdr:rowOff>63500</xdr:rowOff>
    </xdr:to>
    <xdr:sp macro="" textlink="">
      <xdr:nvSpPr>
        <xdr:cNvPr id="90269" name="矩形 1">
          <a:extLst>
            <a:ext uri="{FF2B5EF4-FFF2-40B4-BE49-F238E27FC236}">
              <a16:creationId xmlns:a16="http://schemas.microsoft.com/office/drawing/2014/main" id="{00000000-0008-0000-0300-00009D600100}"/>
            </a:ext>
          </a:extLst>
        </xdr:cNvPr>
        <xdr:cNvSpPr>
          <a:spLocks noChangeArrowheads="1"/>
        </xdr:cNvSpPr>
      </xdr:nvSpPr>
      <xdr:spPr>
        <a:xfrm>
          <a:off x="3949700" y="6350"/>
          <a:ext cx="2067560" cy="257175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152400</xdr:colOff>
      <xdr:row>57</xdr:row>
      <xdr:rowOff>12700</xdr:rowOff>
    </xdr:from>
    <xdr:to>
      <xdr:col>0</xdr:col>
      <xdr:colOff>579120</xdr:colOff>
      <xdr:row>59</xdr:row>
      <xdr:rowOff>38100</xdr:rowOff>
    </xdr:to>
    <xdr:pic>
      <xdr:nvPicPr>
        <xdr:cNvPr id="90270" name="Picture 8">
          <a:extLst>
            <a:ext uri="{FF2B5EF4-FFF2-40B4-BE49-F238E27FC236}">
              <a16:creationId xmlns:a16="http://schemas.microsoft.com/office/drawing/2014/main" id="{00000000-0008-0000-0300-00009E6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2400" y="11632565"/>
          <a:ext cx="393065" cy="47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292100</xdr:colOff>
      <xdr:row>57</xdr:row>
      <xdr:rowOff>12700</xdr:rowOff>
    </xdr:from>
    <xdr:to>
      <xdr:col>12</xdr:col>
      <xdr:colOff>680085</xdr:colOff>
      <xdr:row>58</xdr:row>
      <xdr:rowOff>57150</xdr:rowOff>
    </xdr:to>
    <xdr:sp macro="" textlink="">
      <xdr:nvSpPr>
        <xdr:cNvPr id="90271" name="矩形 1">
          <a:extLst>
            <a:ext uri="{FF2B5EF4-FFF2-40B4-BE49-F238E27FC236}">
              <a16:creationId xmlns:a16="http://schemas.microsoft.com/office/drawing/2014/main" id="{00000000-0008-0000-0300-00009F600100}"/>
            </a:ext>
          </a:extLst>
        </xdr:cNvPr>
        <xdr:cNvSpPr>
          <a:spLocks noChangeArrowheads="1"/>
        </xdr:cNvSpPr>
      </xdr:nvSpPr>
      <xdr:spPr>
        <a:xfrm>
          <a:off x="3949700" y="11632565"/>
          <a:ext cx="2067560" cy="267970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0</xdr:row>
      <xdr:rowOff>0</xdr:rowOff>
    </xdr:from>
    <xdr:to>
      <xdr:col>1</xdr:col>
      <xdr:colOff>6350</xdr:colOff>
      <xdr:row>2</xdr:row>
      <xdr:rowOff>38100</xdr:rowOff>
    </xdr:to>
    <xdr:pic>
      <xdr:nvPicPr>
        <xdr:cNvPr id="13436" name="Picture 1">
          <a:extLst>
            <a:ext uri="{FF2B5EF4-FFF2-40B4-BE49-F238E27FC236}">
              <a16:creationId xmlns:a16="http://schemas.microsoft.com/office/drawing/2014/main" id="{00000000-0008-0000-0400-00007C3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9700" y="0"/>
          <a:ext cx="370205" cy="485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U58"/>
  <sheetViews>
    <sheetView tabSelected="1" workbookViewId="0">
      <selection activeCell="L19" sqref="L19:R20"/>
    </sheetView>
  </sheetViews>
  <sheetFormatPr baseColWidth="10" defaultColWidth="9" defaultRowHeight="15"/>
  <cols>
    <col min="1" max="1" width="6.6640625" style="212" customWidth="1"/>
    <col min="2" max="2" width="3.6640625" style="212" customWidth="1"/>
    <col min="3" max="3" width="8" style="212" customWidth="1"/>
    <col min="4" max="4" width="11.6640625" style="212" customWidth="1"/>
    <col min="5" max="5" width="7.83203125" style="212" customWidth="1"/>
    <col min="6" max="6" width="7.6640625" style="212" customWidth="1"/>
    <col min="7" max="7" width="3.1640625" style="212" customWidth="1"/>
    <col min="8" max="11" width="2" style="212" customWidth="1"/>
    <col min="12" max="12" width="3.83203125" style="212" customWidth="1"/>
    <col min="13" max="13" width="7" style="212" customWidth="1"/>
    <col min="14" max="17" width="2" style="212" customWidth="1"/>
    <col min="18" max="18" width="10.6640625" style="212" customWidth="1"/>
    <col min="19" max="19" width="4.33203125" style="212" customWidth="1"/>
    <col min="20" max="20" width="9.33203125" style="212" customWidth="1"/>
    <col min="21" max="21" width="11.1640625" style="212" customWidth="1"/>
    <col min="22" max="22" width="9" style="212" customWidth="1"/>
    <col min="23" max="23" width="10.1640625" style="212" customWidth="1"/>
    <col min="24" max="24" width="8.33203125" style="212" customWidth="1"/>
    <col min="25" max="26" width="2.6640625" style="212" customWidth="1"/>
    <col min="27" max="27" width="2.5" style="212" customWidth="1"/>
    <col min="28" max="28" width="2.6640625" style="212" customWidth="1"/>
    <col min="29" max="29" width="9" style="212" customWidth="1"/>
    <col min="30" max="30" width="9.33203125" style="212" customWidth="1"/>
    <col min="31" max="255" width="9" style="212" customWidth="1"/>
  </cols>
  <sheetData>
    <row r="1" spans="1:30">
      <c r="A1" s="213"/>
      <c r="B1" s="246" t="s">
        <v>0</v>
      </c>
      <c r="C1" s="246"/>
      <c r="D1" s="246"/>
      <c r="E1" s="246"/>
      <c r="F1" s="246"/>
      <c r="G1" s="230"/>
      <c r="H1" s="230"/>
      <c r="I1" s="230"/>
      <c r="J1" s="230"/>
      <c r="K1" s="230"/>
      <c r="L1" s="230"/>
      <c r="M1" s="247" t="s">
        <v>1</v>
      </c>
      <c r="N1" s="248"/>
      <c r="O1" s="248"/>
      <c r="P1" s="248"/>
      <c r="Q1" s="248"/>
      <c r="R1" s="249"/>
      <c r="S1" s="213"/>
      <c r="T1" s="213"/>
      <c r="U1" s="213"/>
      <c r="V1" s="213"/>
      <c r="W1" s="213"/>
      <c r="X1" s="213"/>
    </row>
    <row r="2" spans="1:30">
      <c r="A2" s="213"/>
      <c r="B2" s="250" t="s">
        <v>2</v>
      </c>
      <c r="C2" s="250"/>
      <c r="D2" s="250"/>
      <c r="E2" s="250"/>
      <c r="F2" s="250"/>
      <c r="G2" s="250"/>
      <c r="H2" s="250"/>
      <c r="I2" s="38"/>
      <c r="J2" s="38"/>
      <c r="K2" s="38"/>
      <c r="L2" s="232"/>
      <c r="M2" s="232"/>
      <c r="N2" s="232"/>
      <c r="O2" s="232"/>
      <c r="P2" s="232"/>
      <c r="Q2" s="232"/>
      <c r="R2" s="213"/>
      <c r="S2" s="213"/>
      <c r="T2" s="316" t="s">
        <v>3</v>
      </c>
      <c r="U2" s="316"/>
      <c r="V2" s="316"/>
      <c r="W2" s="316"/>
      <c r="X2" s="213"/>
    </row>
    <row r="3" spans="1:30" ht="6" customHeight="1">
      <c r="A3" s="213"/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316"/>
      <c r="U3" s="316"/>
      <c r="V3" s="316"/>
      <c r="W3" s="316"/>
      <c r="X3" s="213"/>
    </row>
    <row r="4" spans="1:30" ht="17">
      <c r="A4" s="251" t="s">
        <v>4</v>
      </c>
      <c r="B4" s="251"/>
      <c r="C4" s="251"/>
      <c r="D4" s="251"/>
      <c r="E4" s="251"/>
      <c r="F4" s="251"/>
      <c r="G4" s="251"/>
      <c r="H4" s="251"/>
      <c r="I4" s="251"/>
      <c r="J4" s="251"/>
      <c r="K4" s="251"/>
      <c r="L4" s="251"/>
      <c r="M4" s="251"/>
      <c r="N4" s="251"/>
      <c r="O4" s="251"/>
      <c r="P4" s="251"/>
      <c r="Q4" s="251"/>
      <c r="R4" s="251"/>
      <c r="S4" s="213"/>
      <c r="T4" s="316"/>
      <c r="U4" s="316"/>
      <c r="V4" s="316"/>
      <c r="W4" s="316"/>
      <c r="X4" s="213"/>
    </row>
    <row r="5" spans="1:30" ht="8.25" customHeight="1">
      <c r="A5" s="213"/>
      <c r="B5" s="213"/>
      <c r="C5" s="213"/>
      <c r="D5" s="213"/>
      <c r="E5" s="213"/>
      <c r="F5" s="213"/>
      <c r="G5" s="213"/>
      <c r="H5" s="213"/>
      <c r="I5" s="213"/>
      <c r="J5" s="213"/>
      <c r="K5" s="213"/>
      <c r="L5" s="213"/>
      <c r="M5" s="315" t="s">
        <v>5</v>
      </c>
      <c r="N5" s="336" t="s">
        <v>6</v>
      </c>
      <c r="O5" s="336"/>
      <c r="P5" s="336"/>
      <c r="Q5" s="336"/>
      <c r="R5" s="336"/>
      <c r="S5" s="213"/>
      <c r="T5" s="317" t="s">
        <v>7</v>
      </c>
      <c r="U5" s="318"/>
      <c r="V5" s="311"/>
      <c r="W5" s="213"/>
      <c r="X5" s="213"/>
    </row>
    <row r="6" spans="1:30">
      <c r="A6" s="214"/>
      <c r="B6" s="214"/>
      <c r="C6" s="214"/>
      <c r="D6" s="214"/>
      <c r="E6" s="214"/>
      <c r="F6" s="214"/>
      <c r="G6" s="214"/>
      <c r="H6" s="252"/>
      <c r="I6" s="252"/>
      <c r="J6" s="252"/>
      <c r="K6" s="252"/>
      <c r="L6" s="252"/>
      <c r="M6" s="252"/>
      <c r="N6" s="337"/>
      <c r="O6" s="337"/>
      <c r="P6" s="337"/>
      <c r="Q6" s="337"/>
      <c r="R6" s="337"/>
      <c r="S6" s="213"/>
      <c r="T6" s="319"/>
      <c r="U6" s="320"/>
      <c r="V6" s="311"/>
      <c r="W6" s="213"/>
      <c r="X6" s="213"/>
    </row>
    <row r="7" spans="1:30" ht="21.75" customHeight="1">
      <c r="A7" s="253" t="s">
        <v>8</v>
      </c>
      <c r="B7" s="254"/>
      <c r="C7" s="255" t="s">
        <v>303</v>
      </c>
      <c r="D7" s="256"/>
      <c r="E7" s="219" t="s">
        <v>9</v>
      </c>
      <c r="F7" s="257" t="s">
        <v>10</v>
      </c>
      <c r="G7" s="258"/>
      <c r="H7" s="258"/>
      <c r="I7" s="258"/>
      <c r="J7" s="258"/>
      <c r="K7" s="258"/>
      <c r="L7" s="259" t="s">
        <v>11</v>
      </c>
      <c r="M7" s="260"/>
      <c r="N7" s="261">
        <f>IF(T5="卸货",U8,水尺计算末次!T32)</f>
        <v>0</v>
      </c>
      <c r="O7" s="261"/>
      <c r="P7" s="261"/>
      <c r="Q7" s="261"/>
      <c r="R7" s="262"/>
      <c r="S7" s="213"/>
      <c r="T7" s="234" t="s">
        <v>12</v>
      </c>
      <c r="U7" s="241" t="s">
        <v>13</v>
      </c>
      <c r="V7" s="213"/>
      <c r="W7" s="213"/>
      <c r="X7" s="213"/>
    </row>
    <row r="8" spans="1:30" ht="21.75" customHeight="1">
      <c r="A8" s="253" t="s">
        <v>14</v>
      </c>
      <c r="B8" s="263"/>
      <c r="C8" s="264">
        <v>1007</v>
      </c>
      <c r="D8" s="264"/>
      <c r="E8" s="219" t="s">
        <v>15</v>
      </c>
      <c r="F8" s="257" t="s">
        <v>304</v>
      </c>
      <c r="G8" s="258"/>
      <c r="H8" s="258"/>
      <c r="I8" s="258"/>
      <c r="J8" s="258"/>
      <c r="K8" s="258"/>
      <c r="L8" s="259" t="s">
        <v>16</v>
      </c>
      <c r="M8" s="260"/>
      <c r="N8" s="265">
        <v>6</v>
      </c>
      <c r="O8" s="266"/>
      <c r="P8" s="266"/>
      <c r="Q8" s="266"/>
      <c r="R8" s="267"/>
      <c r="S8" s="213"/>
      <c r="T8" s="234" t="str">
        <f>IF(T5="卸货","提单重量","")</f>
        <v>提单重量</v>
      </c>
      <c r="U8" s="242"/>
      <c r="V8" s="243"/>
      <c r="W8" s="243"/>
      <c r="X8" s="243"/>
    </row>
    <row r="9" spans="1:30" ht="21.75" customHeight="1">
      <c r="A9" s="268" t="s">
        <v>17</v>
      </c>
      <c r="B9" s="268"/>
      <c r="C9" s="268"/>
      <c r="D9" s="268"/>
      <c r="E9" s="269" t="s">
        <v>18</v>
      </c>
      <c r="F9" s="269"/>
      <c r="G9" s="269"/>
      <c r="H9" s="269"/>
      <c r="I9" s="269"/>
      <c r="J9" s="269"/>
      <c r="K9" s="269"/>
      <c r="L9" s="269"/>
      <c r="M9" s="269"/>
      <c r="N9" s="269"/>
      <c r="O9" s="269"/>
      <c r="P9" s="269"/>
      <c r="Q9" s="269"/>
      <c r="R9" s="269"/>
      <c r="S9" s="213"/>
      <c r="T9" s="270" t="s">
        <v>19</v>
      </c>
      <c r="U9" s="270"/>
      <c r="V9" s="270"/>
      <c r="W9" s="270"/>
      <c r="X9" s="270"/>
    </row>
    <row r="10" spans="1:30" ht="21.75" customHeight="1">
      <c r="A10" s="253" t="s">
        <v>20</v>
      </c>
      <c r="B10" s="254"/>
      <c r="C10" s="217" t="s">
        <v>21</v>
      </c>
      <c r="D10" s="218">
        <v>44336.583333333299</v>
      </c>
      <c r="E10" s="231" t="s">
        <v>22</v>
      </c>
      <c r="F10" s="271">
        <v>44337.583333333299</v>
      </c>
      <c r="G10" s="272"/>
      <c r="H10" s="215" t="str">
        <f>IF(T5="装货","装","")</f>
        <v/>
      </c>
      <c r="I10" s="233" t="str">
        <f>IF(T5="装货","卸","装")</f>
        <v>装</v>
      </c>
      <c r="J10" s="216" t="str">
        <f>IF(T5="装货","始","卸")</f>
        <v>卸</v>
      </c>
      <c r="K10" s="216" t="str">
        <f>IF(T5="装货","","始")</f>
        <v>始</v>
      </c>
      <c r="L10" s="273">
        <v>44337.791666666701</v>
      </c>
      <c r="M10" s="272"/>
      <c r="N10" s="215" t="str">
        <f>IF(T5="装货","装","")</f>
        <v/>
      </c>
      <c r="O10" s="233" t="str">
        <f>IF(T5="装货","卸","装")</f>
        <v>装</v>
      </c>
      <c r="P10" s="216" t="str">
        <f>IF(T5="装货","终","卸")</f>
        <v>卸</v>
      </c>
      <c r="Q10" s="216" t="str">
        <f>IF(T5="装货","","终")</f>
        <v>终</v>
      </c>
      <c r="R10" s="235">
        <v>44339.416666666701</v>
      </c>
      <c r="S10" s="213"/>
      <c r="T10" s="270" t="s">
        <v>23</v>
      </c>
      <c r="U10" s="270"/>
      <c r="V10" s="270"/>
      <c r="W10" s="270"/>
      <c r="X10" s="270"/>
      <c r="AD10" s="245"/>
    </row>
    <row r="11" spans="1:30" ht="21.75" customHeight="1">
      <c r="A11" s="253" t="s">
        <v>24</v>
      </c>
      <c r="B11" s="263"/>
      <c r="C11" s="313" t="s">
        <v>25</v>
      </c>
      <c r="D11" s="274" t="s">
        <v>305</v>
      </c>
      <c r="E11" s="275"/>
      <c r="F11" s="275"/>
      <c r="G11" s="276"/>
      <c r="H11" s="327" t="s">
        <v>26</v>
      </c>
      <c r="I11" s="328"/>
      <c r="J11" s="328"/>
      <c r="K11" s="329"/>
      <c r="L11" s="277" t="s">
        <v>305</v>
      </c>
      <c r="M11" s="277"/>
      <c r="N11" s="277"/>
      <c r="O11" s="277"/>
      <c r="P11" s="277"/>
      <c r="Q11" s="277"/>
      <c r="R11" s="278"/>
      <c r="S11" s="213"/>
      <c r="T11" s="213"/>
      <c r="U11" s="213"/>
      <c r="V11" s="213"/>
      <c r="W11" s="213"/>
      <c r="X11" s="213"/>
    </row>
    <row r="12" spans="1:30" ht="21.75" customHeight="1">
      <c r="A12" s="253" t="s">
        <v>27</v>
      </c>
      <c r="B12" s="263"/>
      <c r="C12" s="313"/>
      <c r="D12" s="220">
        <v>44337</v>
      </c>
      <c r="E12" s="279" t="s">
        <v>306</v>
      </c>
      <c r="F12" s="280"/>
      <c r="G12" s="281"/>
      <c r="H12" s="330"/>
      <c r="I12" s="331"/>
      <c r="J12" s="331"/>
      <c r="K12" s="332"/>
      <c r="L12" s="282">
        <v>44339</v>
      </c>
      <c r="M12" s="283"/>
      <c r="N12" s="284" t="s">
        <v>308</v>
      </c>
      <c r="O12" s="285"/>
      <c r="P12" s="285"/>
      <c r="Q12" s="285"/>
      <c r="R12" s="286"/>
      <c r="S12" s="213"/>
      <c r="T12" s="213"/>
      <c r="U12" s="213"/>
      <c r="V12" s="213"/>
      <c r="W12" s="213"/>
      <c r="X12" s="213"/>
      <c r="Z12" s="240"/>
    </row>
    <row r="13" spans="1:30" ht="21.75" customHeight="1">
      <c r="A13" s="253" t="s">
        <v>28</v>
      </c>
      <c r="B13" s="263"/>
      <c r="C13" s="313"/>
      <c r="D13" s="274" t="s">
        <v>307</v>
      </c>
      <c r="E13" s="275"/>
      <c r="F13" s="275"/>
      <c r="G13" s="276"/>
      <c r="H13" s="330"/>
      <c r="I13" s="331"/>
      <c r="J13" s="331"/>
      <c r="K13" s="332"/>
      <c r="L13" s="287" t="s">
        <v>307</v>
      </c>
      <c r="M13" s="287"/>
      <c r="N13" s="287"/>
      <c r="O13" s="287"/>
      <c r="P13" s="287"/>
      <c r="Q13" s="287"/>
      <c r="R13" s="288"/>
      <c r="S13" s="213"/>
      <c r="T13" s="213"/>
      <c r="U13" s="213"/>
      <c r="V13" s="213"/>
      <c r="W13" s="213"/>
      <c r="X13" s="213"/>
    </row>
    <row r="14" spans="1:30" ht="21.75" customHeight="1">
      <c r="A14" s="253" t="s">
        <v>29</v>
      </c>
      <c r="B14" s="263"/>
      <c r="C14" s="313"/>
      <c r="D14" s="289" t="s">
        <v>30</v>
      </c>
      <c r="E14" s="290"/>
      <c r="F14" s="290"/>
      <c r="G14" s="291"/>
      <c r="H14" s="333"/>
      <c r="I14" s="334"/>
      <c r="J14" s="334"/>
      <c r="K14" s="335"/>
      <c r="L14" s="292" t="s">
        <v>30</v>
      </c>
      <c r="M14" s="292"/>
      <c r="N14" s="292"/>
      <c r="O14" s="292"/>
      <c r="P14" s="292"/>
      <c r="Q14" s="292"/>
      <c r="R14" s="293"/>
      <c r="S14" s="213"/>
      <c r="T14" s="213"/>
      <c r="U14" s="213"/>
      <c r="V14" s="213"/>
      <c r="W14" s="213"/>
      <c r="X14" s="213"/>
    </row>
    <row r="15" spans="1:30" ht="12.75" customHeight="1">
      <c r="A15" s="327" t="s">
        <v>31</v>
      </c>
      <c r="B15" s="328"/>
      <c r="C15" s="329"/>
      <c r="D15" s="356"/>
      <c r="E15" s="356"/>
      <c r="F15" s="356"/>
      <c r="G15" s="356"/>
      <c r="H15" s="356"/>
      <c r="I15" s="356"/>
      <c r="J15" s="356"/>
      <c r="K15" s="356"/>
      <c r="L15" s="356"/>
      <c r="M15" s="356"/>
      <c r="N15" s="356"/>
      <c r="O15" s="356"/>
      <c r="P15" s="356"/>
      <c r="Q15" s="356"/>
      <c r="R15" s="356"/>
      <c r="S15" s="213"/>
      <c r="T15" s="213"/>
      <c r="U15" s="213"/>
      <c r="V15" s="213"/>
      <c r="W15" s="213"/>
      <c r="X15" s="213"/>
    </row>
    <row r="16" spans="1:30" ht="12.75" customHeight="1">
      <c r="A16" s="330"/>
      <c r="B16" s="331"/>
      <c r="C16" s="332"/>
      <c r="D16" s="356"/>
      <c r="E16" s="356"/>
      <c r="F16" s="356"/>
      <c r="G16" s="356"/>
      <c r="H16" s="356"/>
      <c r="I16" s="356"/>
      <c r="J16" s="356"/>
      <c r="K16" s="356"/>
      <c r="L16" s="356"/>
      <c r="M16" s="356"/>
      <c r="N16" s="356"/>
      <c r="O16" s="356"/>
      <c r="P16" s="356"/>
      <c r="Q16" s="356"/>
      <c r="R16" s="356"/>
      <c r="S16" s="213"/>
      <c r="T16" s="213"/>
      <c r="U16" s="213"/>
      <c r="V16" s="213"/>
      <c r="W16" s="213"/>
      <c r="X16" s="213"/>
    </row>
    <row r="17" spans="1:24" ht="12.75" customHeight="1">
      <c r="A17" s="330"/>
      <c r="B17" s="331"/>
      <c r="C17" s="332"/>
      <c r="D17" s="356"/>
      <c r="E17" s="356"/>
      <c r="F17" s="356"/>
      <c r="G17" s="356"/>
      <c r="H17" s="356"/>
      <c r="I17" s="356"/>
      <c r="J17" s="356"/>
      <c r="K17" s="356"/>
      <c r="L17" s="356"/>
      <c r="M17" s="356"/>
      <c r="N17" s="356"/>
      <c r="O17" s="356"/>
      <c r="P17" s="356"/>
      <c r="Q17" s="356"/>
      <c r="R17" s="356"/>
      <c r="S17" s="213"/>
      <c r="T17" s="213"/>
      <c r="U17" s="213"/>
      <c r="V17" s="213"/>
      <c r="W17" s="213"/>
      <c r="X17" s="213"/>
    </row>
    <row r="18" spans="1:24" ht="12.75" customHeight="1">
      <c r="A18" s="333"/>
      <c r="B18" s="334"/>
      <c r="C18" s="335"/>
      <c r="D18" s="356"/>
      <c r="E18" s="356"/>
      <c r="F18" s="356"/>
      <c r="G18" s="356"/>
      <c r="H18" s="356"/>
      <c r="I18" s="356"/>
      <c r="J18" s="356"/>
      <c r="K18" s="356"/>
      <c r="L18" s="356"/>
      <c r="M18" s="356"/>
      <c r="N18" s="356"/>
      <c r="O18" s="356"/>
      <c r="P18" s="356"/>
      <c r="Q18" s="356"/>
      <c r="R18" s="356"/>
      <c r="S18" s="213"/>
      <c r="T18" s="213"/>
      <c r="U18" s="213"/>
      <c r="V18" s="213"/>
      <c r="W18" s="213"/>
      <c r="X18" s="213"/>
    </row>
    <row r="19" spans="1:24" ht="18">
      <c r="A19" s="321" t="s">
        <v>32</v>
      </c>
      <c r="B19" s="322"/>
      <c r="C19" s="221" t="s">
        <v>33</v>
      </c>
      <c r="D19" s="313" t="s">
        <v>34</v>
      </c>
      <c r="E19" s="325" t="s">
        <v>35</v>
      </c>
      <c r="F19" s="325"/>
      <c r="G19" s="327" t="s">
        <v>36</v>
      </c>
      <c r="H19" s="328"/>
      <c r="I19" s="328"/>
      <c r="J19" s="328"/>
      <c r="K19" s="328"/>
      <c r="L19" s="340" t="s">
        <v>37</v>
      </c>
      <c r="M19" s="341"/>
      <c r="N19" s="341"/>
      <c r="O19" s="341"/>
      <c r="P19" s="341"/>
      <c r="Q19" s="341"/>
      <c r="R19" s="342"/>
      <c r="S19" s="213"/>
      <c r="T19" s="213"/>
      <c r="U19" s="213"/>
      <c r="V19" s="213"/>
      <c r="W19" s="213"/>
      <c r="X19" s="213"/>
    </row>
    <row r="20" spans="1:24">
      <c r="A20" s="323"/>
      <c r="B20" s="324"/>
      <c r="C20" s="219" t="s">
        <v>38</v>
      </c>
      <c r="D20" s="313"/>
      <c r="E20" s="325"/>
      <c r="F20" s="325"/>
      <c r="G20" s="333"/>
      <c r="H20" s="334"/>
      <c r="I20" s="334"/>
      <c r="J20" s="334"/>
      <c r="K20" s="334"/>
      <c r="L20" s="343"/>
      <c r="M20" s="344"/>
      <c r="N20" s="344"/>
      <c r="O20" s="344"/>
      <c r="P20" s="344"/>
      <c r="Q20" s="344"/>
      <c r="R20" s="345"/>
      <c r="S20" s="213"/>
      <c r="T20" s="213"/>
      <c r="U20" s="213"/>
      <c r="V20" s="213"/>
      <c r="W20" s="213"/>
      <c r="X20" s="213"/>
    </row>
    <row r="21" spans="1:24" ht="18">
      <c r="A21" s="321" t="s">
        <v>39</v>
      </c>
      <c r="B21" s="322"/>
      <c r="C21" s="221" t="s">
        <v>33</v>
      </c>
      <c r="D21" s="313" t="s">
        <v>34</v>
      </c>
      <c r="E21" s="325">
        <v>11395</v>
      </c>
      <c r="F21" s="325"/>
      <c r="G21" s="327" t="s">
        <v>36</v>
      </c>
      <c r="H21" s="328"/>
      <c r="I21" s="328"/>
      <c r="J21" s="328"/>
      <c r="K21" s="328"/>
      <c r="L21" s="350" t="s">
        <v>40</v>
      </c>
      <c r="M21" s="351"/>
      <c r="N21" s="351"/>
      <c r="O21" s="351"/>
      <c r="P21" s="351"/>
      <c r="Q21" s="351"/>
      <c r="R21" s="352"/>
      <c r="S21" s="213"/>
      <c r="T21" s="213"/>
      <c r="U21" s="213"/>
      <c r="V21" s="213"/>
      <c r="W21" s="213"/>
      <c r="X21" s="213"/>
    </row>
    <row r="22" spans="1:24">
      <c r="A22" s="323"/>
      <c r="B22" s="324"/>
      <c r="C22" s="222" t="s">
        <v>38</v>
      </c>
      <c r="D22" s="314"/>
      <c r="E22" s="326"/>
      <c r="F22" s="326"/>
      <c r="G22" s="333"/>
      <c r="H22" s="334"/>
      <c r="I22" s="334"/>
      <c r="J22" s="334"/>
      <c r="K22" s="334"/>
      <c r="L22" s="353"/>
      <c r="M22" s="354"/>
      <c r="N22" s="354"/>
      <c r="O22" s="354"/>
      <c r="P22" s="354"/>
      <c r="Q22" s="354"/>
      <c r="R22" s="355"/>
      <c r="S22" s="213"/>
      <c r="T22" s="213"/>
      <c r="U22" s="213"/>
      <c r="V22" s="213"/>
      <c r="W22" s="213"/>
      <c r="X22" s="213"/>
    </row>
    <row r="23" spans="1:24" ht="18.75" customHeight="1">
      <c r="A23" s="338" t="s">
        <v>41</v>
      </c>
      <c r="B23" s="311"/>
      <c r="C23" s="294" t="s">
        <v>42</v>
      </c>
      <c r="D23" s="295"/>
      <c r="E23" s="295"/>
      <c r="F23" s="295"/>
      <c r="G23" s="295"/>
      <c r="H23" s="295"/>
      <c r="I23" s="295"/>
      <c r="J23" s="295"/>
      <c r="K23" s="295"/>
      <c r="L23" s="295"/>
      <c r="M23" s="295"/>
      <c r="N23" s="295"/>
      <c r="O23" s="295"/>
      <c r="P23" s="295"/>
      <c r="Q23" s="295"/>
      <c r="R23" s="296"/>
      <c r="S23" s="213"/>
      <c r="T23" s="213"/>
      <c r="U23" s="213"/>
      <c r="V23" s="213"/>
      <c r="W23" s="213"/>
      <c r="X23" s="213"/>
    </row>
    <row r="24" spans="1:24" ht="18.75" customHeight="1">
      <c r="A24" s="323"/>
      <c r="B24" s="339"/>
      <c r="C24" s="297" t="s">
        <v>43</v>
      </c>
      <c r="D24" s="298"/>
      <c r="E24" s="298"/>
      <c r="F24" s="298"/>
      <c r="G24" s="298"/>
      <c r="H24" s="298"/>
      <c r="I24" s="298"/>
      <c r="J24" s="298"/>
      <c r="K24" s="298"/>
      <c r="L24" s="298"/>
      <c r="M24" s="298"/>
      <c r="N24" s="298"/>
      <c r="O24" s="298"/>
      <c r="P24" s="298"/>
      <c r="Q24" s="298"/>
      <c r="R24" s="299"/>
      <c r="S24" s="213"/>
      <c r="T24" s="213"/>
      <c r="U24" s="213"/>
      <c r="V24" s="213"/>
      <c r="W24" s="213"/>
      <c r="X24" s="213"/>
    </row>
    <row r="25" spans="1:24" ht="17.5" customHeight="1">
      <c r="A25" s="223" t="s">
        <v>44</v>
      </c>
      <c r="B25" s="224"/>
      <c r="C25" s="224"/>
      <c r="D25" s="224"/>
      <c r="E25" s="224"/>
      <c r="F25" s="224"/>
      <c r="G25" s="224"/>
      <c r="H25" s="224"/>
      <c r="I25" s="224"/>
      <c r="J25" s="224"/>
      <c r="K25" s="224"/>
      <c r="L25" s="224"/>
      <c r="M25" s="224"/>
      <c r="N25" s="224"/>
      <c r="O25" s="224"/>
      <c r="P25" s="224"/>
      <c r="Q25" s="224"/>
      <c r="R25" s="236"/>
      <c r="S25" s="213"/>
      <c r="T25" s="300" t="s">
        <v>45</v>
      </c>
      <c r="U25" s="301"/>
      <c r="V25" s="301"/>
      <c r="W25" s="301"/>
      <c r="X25" s="302"/>
    </row>
    <row r="26" spans="1:24" ht="17.5" customHeight="1">
      <c r="A26" s="225"/>
      <c r="B26" s="346" t="s">
        <v>309</v>
      </c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6"/>
      <c r="O26" s="346"/>
      <c r="P26" s="346"/>
      <c r="Q26" s="346"/>
      <c r="R26" s="347"/>
      <c r="S26" s="213"/>
      <c r="T26" s="303"/>
      <c r="U26" s="304"/>
      <c r="V26" s="304"/>
      <c r="W26" s="304"/>
      <c r="X26" s="305"/>
    </row>
    <row r="27" spans="1:24" ht="17.5" customHeight="1">
      <c r="A27" s="225"/>
      <c r="B27" s="346"/>
      <c r="C27" s="346"/>
      <c r="D27" s="346"/>
      <c r="E27" s="346"/>
      <c r="F27" s="346"/>
      <c r="G27" s="346"/>
      <c r="H27" s="346"/>
      <c r="I27" s="346"/>
      <c r="J27" s="346"/>
      <c r="K27" s="346"/>
      <c r="L27" s="346"/>
      <c r="M27" s="346"/>
      <c r="N27" s="346"/>
      <c r="O27" s="346"/>
      <c r="P27" s="346"/>
      <c r="Q27" s="346"/>
      <c r="R27" s="347"/>
      <c r="S27" s="213"/>
      <c r="T27" s="303"/>
      <c r="U27" s="304"/>
      <c r="V27" s="304"/>
      <c r="W27" s="304"/>
      <c r="X27" s="305"/>
    </row>
    <row r="28" spans="1:24" ht="17.5" customHeight="1">
      <c r="A28" s="225"/>
      <c r="B28" s="348" t="e">
        <f>"该轮"&amp;T5&amp;"重量为"&amp;水尺计算末次!T32&amp;"MT."</f>
        <v>#VALUE!</v>
      </c>
      <c r="C28" s="348"/>
      <c r="D28" s="348"/>
      <c r="E28" s="348"/>
      <c r="F28" s="348"/>
      <c r="G28" s="348"/>
      <c r="H28" s="348"/>
      <c r="I28" s="348"/>
      <c r="J28" s="348"/>
      <c r="K28" s="348"/>
      <c r="L28" s="348"/>
      <c r="M28" s="348"/>
      <c r="N28" s="348"/>
      <c r="O28" s="348"/>
      <c r="P28" s="348"/>
      <c r="Q28" s="348"/>
      <c r="R28" s="349"/>
      <c r="S28" s="213"/>
      <c r="T28" s="303"/>
      <c r="U28" s="304"/>
      <c r="V28" s="304"/>
      <c r="W28" s="304"/>
      <c r="X28" s="305"/>
    </row>
    <row r="29" spans="1:24" ht="17.5" customHeight="1">
      <c r="A29" s="225"/>
      <c r="B29" s="348"/>
      <c r="C29" s="348"/>
      <c r="D29" s="348"/>
      <c r="E29" s="348"/>
      <c r="F29" s="348"/>
      <c r="G29" s="348"/>
      <c r="H29" s="348"/>
      <c r="I29" s="348"/>
      <c r="J29" s="348"/>
      <c r="K29" s="348"/>
      <c r="L29" s="348"/>
      <c r="M29" s="348"/>
      <c r="N29" s="348"/>
      <c r="O29" s="348"/>
      <c r="P29" s="348"/>
      <c r="Q29" s="348"/>
      <c r="R29" s="349"/>
      <c r="S29" s="213"/>
      <c r="T29" s="303"/>
      <c r="U29" s="304"/>
      <c r="V29" s="304"/>
      <c r="W29" s="304"/>
      <c r="X29" s="305"/>
    </row>
    <row r="30" spans="1:24" ht="17.5" customHeight="1">
      <c r="A30" s="225"/>
      <c r="B30" s="226"/>
      <c r="C30" s="306"/>
      <c r="D30" s="306"/>
      <c r="E30" s="306"/>
      <c r="F30" s="306"/>
      <c r="G30" s="306"/>
      <c r="H30" s="306"/>
      <c r="I30" s="306"/>
      <c r="J30" s="306"/>
      <c r="K30" s="306"/>
      <c r="L30" s="306"/>
      <c r="M30" s="306"/>
      <c r="N30" s="306"/>
      <c r="O30" s="306"/>
      <c r="P30" s="306"/>
      <c r="Q30" s="306"/>
      <c r="R30" s="307"/>
      <c r="S30" s="213"/>
      <c r="T30" s="303"/>
      <c r="U30" s="304"/>
      <c r="V30" s="304"/>
      <c r="W30" s="304"/>
      <c r="X30" s="305"/>
    </row>
    <row r="31" spans="1:24" ht="17.5" customHeight="1">
      <c r="A31" s="225"/>
      <c r="B31" s="226"/>
      <c r="C31" s="226"/>
      <c r="D31" s="226"/>
      <c r="E31" s="226"/>
      <c r="F31" s="226"/>
      <c r="G31" s="226"/>
      <c r="H31" s="226"/>
      <c r="I31" s="226"/>
      <c r="J31" s="226"/>
      <c r="K31" s="226"/>
      <c r="L31" s="226"/>
      <c r="M31" s="226"/>
      <c r="N31" s="226"/>
      <c r="O31" s="226"/>
      <c r="P31" s="226"/>
      <c r="Q31" s="226"/>
      <c r="R31" s="237"/>
      <c r="S31" s="213"/>
      <c r="T31" s="303"/>
      <c r="U31" s="304"/>
      <c r="V31" s="304"/>
      <c r="W31" s="304"/>
      <c r="X31" s="305"/>
    </row>
    <row r="32" spans="1:24" ht="17.5" customHeight="1">
      <c r="A32" s="225"/>
      <c r="B32" s="226"/>
      <c r="C32" s="226"/>
      <c r="D32" s="226"/>
      <c r="E32" s="226"/>
      <c r="F32" s="226"/>
      <c r="G32" s="226"/>
      <c r="H32" s="226"/>
      <c r="I32" s="226"/>
      <c r="J32" s="226"/>
      <c r="K32" s="226"/>
      <c r="L32" s="226"/>
      <c r="M32" s="226"/>
      <c r="N32" s="226"/>
      <c r="O32" s="226"/>
      <c r="P32" s="226"/>
      <c r="Q32" s="226"/>
      <c r="R32" s="237"/>
      <c r="S32" s="213"/>
      <c r="T32" s="303"/>
      <c r="U32" s="304"/>
      <c r="V32" s="304"/>
      <c r="W32" s="304"/>
      <c r="X32" s="305"/>
    </row>
    <row r="33" spans="1:24" ht="17.5" customHeight="1">
      <c r="A33" s="225"/>
      <c r="B33" s="226"/>
      <c r="C33" s="226"/>
      <c r="D33" s="226"/>
      <c r="E33" s="226"/>
      <c r="F33" s="226"/>
      <c r="G33" s="226"/>
      <c r="H33" s="226"/>
      <c r="I33" s="226"/>
      <c r="J33" s="226"/>
      <c r="K33" s="226"/>
      <c r="L33" s="226"/>
      <c r="M33" s="226"/>
      <c r="N33" s="226"/>
      <c r="O33" s="226"/>
      <c r="P33" s="226"/>
      <c r="Q33" s="226"/>
      <c r="R33" s="237"/>
      <c r="S33" s="213"/>
      <c r="T33" s="308" t="s">
        <v>46</v>
      </c>
      <c r="U33" s="309"/>
      <c r="V33" s="309"/>
      <c r="W33" s="309"/>
      <c r="X33" s="310"/>
    </row>
    <row r="34" spans="1:24" ht="17.5" customHeight="1">
      <c r="A34" s="225"/>
      <c r="B34" s="226"/>
      <c r="C34" s="226"/>
      <c r="D34" s="226"/>
      <c r="E34" s="226"/>
      <c r="F34" s="226"/>
      <c r="G34" s="226"/>
      <c r="H34" s="226"/>
      <c r="I34" s="226"/>
      <c r="J34" s="226"/>
      <c r="K34" s="226"/>
      <c r="L34" s="226"/>
      <c r="M34" s="226"/>
      <c r="N34" s="226"/>
      <c r="O34" s="226"/>
      <c r="P34" s="226"/>
      <c r="Q34" s="226"/>
      <c r="R34" s="237"/>
      <c r="S34" s="213"/>
      <c r="T34" s="213"/>
      <c r="U34" s="213"/>
      <c r="V34" s="213"/>
      <c r="W34" s="213"/>
      <c r="X34" s="213"/>
    </row>
    <row r="35" spans="1:24" ht="17.5" customHeight="1">
      <c r="A35" s="225"/>
      <c r="B35" s="226"/>
      <c r="C35" s="226"/>
      <c r="D35" s="226"/>
      <c r="E35" s="226"/>
      <c r="F35" s="226"/>
      <c r="G35" s="226"/>
      <c r="H35" s="226"/>
      <c r="I35" s="226"/>
      <c r="J35" s="226"/>
      <c r="K35" s="226"/>
      <c r="L35" s="226"/>
      <c r="M35" s="226"/>
      <c r="N35" s="226"/>
      <c r="O35" s="226"/>
      <c r="P35" s="226"/>
      <c r="Q35" s="226"/>
      <c r="R35" s="237"/>
      <c r="S35" s="213"/>
      <c r="T35" s="213"/>
      <c r="U35" s="213"/>
      <c r="V35" s="213"/>
      <c r="W35" s="213"/>
      <c r="X35" s="213"/>
    </row>
    <row r="36" spans="1:24" ht="17.5" customHeight="1">
      <c r="A36" s="225"/>
      <c r="B36" s="226"/>
      <c r="C36" s="226"/>
      <c r="D36" s="226"/>
      <c r="E36" s="226"/>
      <c r="F36" s="226"/>
      <c r="G36" s="226"/>
      <c r="H36" s="226"/>
      <c r="I36" s="226"/>
      <c r="J36" s="226"/>
      <c r="K36" s="226"/>
      <c r="L36" s="226"/>
      <c r="M36" s="226"/>
      <c r="N36" s="226"/>
      <c r="O36" s="226"/>
      <c r="P36" s="226"/>
      <c r="Q36" s="226"/>
      <c r="R36" s="237"/>
      <c r="S36" s="213"/>
      <c r="T36" s="213"/>
      <c r="U36" s="213"/>
      <c r="V36" s="213"/>
      <c r="W36" s="213"/>
      <c r="X36" s="213"/>
    </row>
    <row r="37" spans="1:24" ht="17.5" customHeight="1">
      <c r="A37" s="225"/>
      <c r="B37" s="226"/>
      <c r="C37" s="226"/>
      <c r="D37" s="226"/>
      <c r="E37" s="226"/>
      <c r="F37" s="226"/>
      <c r="G37" s="226"/>
      <c r="H37" s="226"/>
      <c r="I37" s="226"/>
      <c r="J37" s="226"/>
      <c r="K37" s="226"/>
      <c r="L37" s="226"/>
      <c r="M37" s="226"/>
      <c r="N37" s="226"/>
      <c r="O37" s="226"/>
      <c r="P37" s="226"/>
      <c r="Q37" s="226"/>
      <c r="R37" s="237"/>
      <c r="S37" s="213"/>
      <c r="T37" s="213"/>
      <c r="U37" s="213"/>
      <c r="V37" s="213"/>
      <c r="W37" s="213"/>
      <c r="X37" s="213"/>
    </row>
    <row r="38" spans="1:24" ht="17.5" customHeight="1">
      <c r="A38" s="225"/>
      <c r="B38" s="226"/>
      <c r="C38" s="226"/>
      <c r="D38" s="226"/>
      <c r="E38" s="226"/>
      <c r="F38" s="226"/>
      <c r="G38" s="226"/>
      <c r="H38" s="226"/>
      <c r="I38" s="226"/>
      <c r="J38" s="226"/>
      <c r="K38" s="226"/>
      <c r="L38" s="226"/>
      <c r="M38" s="226"/>
      <c r="N38" s="226"/>
      <c r="O38" s="226"/>
      <c r="P38" s="226"/>
      <c r="Q38" s="226"/>
      <c r="R38" s="237"/>
      <c r="S38" s="213"/>
      <c r="T38" s="213"/>
      <c r="U38" s="213"/>
      <c r="V38" s="213"/>
      <c r="W38" s="213"/>
      <c r="X38" s="213"/>
    </row>
    <row r="39" spans="1:24" ht="17.5" customHeight="1">
      <c r="A39" s="225"/>
      <c r="B39" s="226"/>
      <c r="C39" s="226"/>
      <c r="D39" s="226"/>
      <c r="E39" s="226"/>
      <c r="F39" s="226"/>
      <c r="G39" s="226"/>
      <c r="H39" s="226"/>
      <c r="I39" s="226"/>
      <c r="J39" s="226"/>
      <c r="K39" s="226"/>
      <c r="L39" s="226"/>
      <c r="M39" s="226"/>
      <c r="N39" s="226"/>
      <c r="O39" s="226"/>
      <c r="P39" s="226"/>
      <c r="Q39" s="226"/>
      <c r="R39" s="237"/>
      <c r="S39" s="213"/>
      <c r="T39" s="213"/>
      <c r="U39" s="213"/>
      <c r="V39" s="213"/>
      <c r="W39" s="213"/>
      <c r="X39" s="213"/>
    </row>
    <row r="40" spans="1:24">
      <c r="A40" s="227"/>
      <c r="B40" s="228"/>
      <c r="C40" s="228"/>
      <c r="D40" s="228"/>
      <c r="E40" s="228"/>
      <c r="F40" s="228"/>
      <c r="G40" s="228"/>
      <c r="H40" s="228"/>
      <c r="I40" s="228"/>
      <c r="J40" s="228"/>
      <c r="K40" s="228"/>
      <c r="L40" s="228"/>
      <c r="M40" s="228"/>
      <c r="N40" s="228"/>
      <c r="O40" s="228"/>
      <c r="P40" s="228"/>
      <c r="Q40" s="228"/>
      <c r="R40" s="238"/>
      <c r="S40" s="229"/>
      <c r="T40" s="213"/>
      <c r="U40" s="213"/>
      <c r="V40" s="213"/>
      <c r="W40" s="213"/>
      <c r="X40" s="213"/>
    </row>
    <row r="41" spans="1:24">
      <c r="A41" s="229"/>
      <c r="B41" s="229"/>
      <c r="C41" s="229"/>
      <c r="D41" s="229"/>
      <c r="E41" s="229"/>
      <c r="F41" s="229"/>
      <c r="G41" s="229"/>
      <c r="H41" s="229"/>
      <c r="I41" s="229"/>
      <c r="J41" s="229"/>
      <c r="K41" s="229"/>
      <c r="L41" s="229"/>
      <c r="M41" s="229"/>
      <c r="N41" s="229"/>
      <c r="O41" s="229"/>
      <c r="P41" s="229"/>
      <c r="Q41" s="229"/>
      <c r="R41" s="229"/>
      <c r="S41" s="239"/>
      <c r="T41" s="213"/>
      <c r="U41" s="213"/>
      <c r="V41" s="213"/>
      <c r="W41" s="213"/>
      <c r="X41" s="213"/>
    </row>
    <row r="42" spans="1:24">
      <c r="A42" s="311" t="s">
        <v>47</v>
      </c>
      <c r="B42" s="311"/>
      <c r="C42" s="311"/>
      <c r="D42" s="311"/>
      <c r="E42" s="311"/>
      <c r="F42" s="311"/>
      <c r="G42" s="311"/>
      <c r="H42" s="311"/>
      <c r="I42" s="311"/>
      <c r="J42" s="311"/>
      <c r="K42" s="311"/>
      <c r="L42" s="311"/>
      <c r="M42" s="311"/>
      <c r="N42" s="311"/>
      <c r="O42" s="311"/>
      <c r="P42" s="311"/>
      <c r="Q42" s="311"/>
      <c r="R42" s="311"/>
      <c r="S42" s="213"/>
      <c r="T42" s="213"/>
      <c r="U42" s="213"/>
      <c r="V42" s="213"/>
      <c r="W42" s="213"/>
      <c r="X42" s="213"/>
    </row>
    <row r="43" spans="1:24">
      <c r="A43" s="312"/>
      <c r="B43" s="312"/>
      <c r="C43" s="312"/>
      <c r="D43" s="312"/>
      <c r="E43" s="312"/>
      <c r="F43" s="312"/>
      <c r="G43" s="312"/>
      <c r="H43" s="312"/>
      <c r="I43" s="312"/>
      <c r="J43" s="312"/>
      <c r="K43" s="312"/>
      <c r="L43" s="312"/>
      <c r="M43" s="312"/>
      <c r="N43" s="312"/>
      <c r="O43" s="312"/>
      <c r="P43" s="312"/>
      <c r="Q43" s="312"/>
      <c r="R43" s="312"/>
      <c r="S43" s="213"/>
      <c r="T43" s="213"/>
      <c r="U43" s="213"/>
      <c r="V43" s="213"/>
      <c r="W43" s="213"/>
      <c r="X43" s="213"/>
    </row>
    <row r="56" spans="20:23">
      <c r="T56" s="240"/>
    </row>
    <row r="58" spans="20:23" ht="16" customHeight="1">
      <c r="W58" s="244"/>
    </row>
  </sheetData>
  <mergeCells count="71">
    <mergeCell ref="V5:V6"/>
    <mergeCell ref="T2:W4"/>
    <mergeCell ref="T5:U6"/>
    <mergeCell ref="A21:B22"/>
    <mergeCell ref="E21:F22"/>
    <mergeCell ref="A19:B20"/>
    <mergeCell ref="E19:F20"/>
    <mergeCell ref="A15:C18"/>
    <mergeCell ref="H11:K14"/>
    <mergeCell ref="N5:R6"/>
    <mergeCell ref="L19:R20"/>
    <mergeCell ref="L21:R22"/>
    <mergeCell ref="D15:R18"/>
    <mergeCell ref="G19:K20"/>
    <mergeCell ref="G21:K22"/>
    <mergeCell ref="T32:X32"/>
    <mergeCell ref="T33:X33"/>
    <mergeCell ref="A42:R42"/>
    <mergeCell ref="A43:R43"/>
    <mergeCell ref="C11:C14"/>
    <mergeCell ref="D19:D20"/>
    <mergeCell ref="D21:D22"/>
    <mergeCell ref="A23:B24"/>
    <mergeCell ref="B26:R27"/>
    <mergeCell ref="B28:R29"/>
    <mergeCell ref="T28:X28"/>
    <mergeCell ref="T29:X29"/>
    <mergeCell ref="C30:R30"/>
    <mergeCell ref="T30:X30"/>
    <mergeCell ref="T31:X31"/>
    <mergeCell ref="C23:R23"/>
    <mergeCell ref="C24:R24"/>
    <mergeCell ref="T25:X25"/>
    <mergeCell ref="T26:X26"/>
    <mergeCell ref="T27:X27"/>
    <mergeCell ref="A13:B13"/>
    <mergeCell ref="D13:G13"/>
    <mergeCell ref="L13:R13"/>
    <mergeCell ref="A14:B14"/>
    <mergeCell ref="D14:G14"/>
    <mergeCell ref="L14:R14"/>
    <mergeCell ref="A11:B11"/>
    <mergeCell ref="D11:G11"/>
    <mergeCell ref="L11:R11"/>
    <mergeCell ref="A12:B12"/>
    <mergeCell ref="E12:G12"/>
    <mergeCell ref="L12:M12"/>
    <mergeCell ref="N12:R12"/>
    <mergeCell ref="A9:D9"/>
    <mergeCell ref="E9:R9"/>
    <mergeCell ref="T9:X9"/>
    <mergeCell ref="A10:B10"/>
    <mergeCell ref="F10:G10"/>
    <mergeCell ref="L10:M10"/>
    <mergeCell ref="T10:X10"/>
    <mergeCell ref="A8:B8"/>
    <mergeCell ref="C8:D8"/>
    <mergeCell ref="F8:K8"/>
    <mergeCell ref="L8:M8"/>
    <mergeCell ref="N8:R8"/>
    <mergeCell ref="A7:B7"/>
    <mergeCell ref="C7:D7"/>
    <mergeCell ref="F7:K7"/>
    <mergeCell ref="L7:M7"/>
    <mergeCell ref="N7:R7"/>
    <mergeCell ref="B1:F1"/>
    <mergeCell ref="M1:R1"/>
    <mergeCell ref="B2:H2"/>
    <mergeCell ref="A4:R4"/>
    <mergeCell ref="H6:L6"/>
    <mergeCell ref="M5:M6"/>
  </mergeCells>
  <phoneticPr fontId="28" type="noConversion"/>
  <dataValidations count="1">
    <dataValidation type="list" allowBlank="1" showInputMessage="1" showErrorMessage="1" sqref="T5:T6" xr:uid="{00000000-0002-0000-0000-000000000000}">
      <formula1>"装货,卸货"</formula1>
    </dataValidation>
  </dataValidations>
  <pageMargins left="0.47152777777777799" right="0.47152777777777799" top="0.59027777777777801" bottom="0.78680555555555598" header="0.51180555555555596" footer="0.51180555555555596"/>
  <pageSetup paperSize="9" orientation="portrait" blackAndWhite="1"/>
  <headerFooter alignWithMargins="0">
    <oddFooter>&amp;L&amp;"仿宋_GB2312,常规"&amp;9实施日期：2019年8月20日&amp;R&amp;"仿宋_GB2312,常规"&amp;9第1 页 共 1 页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42"/>
  <sheetViews>
    <sheetView topLeftCell="AA4" zoomScale="181" zoomScaleNormal="181" workbookViewId="0">
      <selection activeCell="AE26" sqref="AE26"/>
    </sheetView>
  </sheetViews>
  <sheetFormatPr baseColWidth="10" defaultColWidth="9" defaultRowHeight="15"/>
  <cols>
    <col min="1" max="1" width="6" style="118" customWidth="1"/>
    <col min="2" max="2" width="2.33203125" style="118" customWidth="1"/>
    <col min="3" max="3" width="3.1640625" style="118" customWidth="1"/>
    <col min="4" max="4" width="2.83203125" style="118" customWidth="1"/>
    <col min="5" max="5" width="4" style="118" customWidth="1"/>
    <col min="6" max="6" width="2" style="118" customWidth="1"/>
    <col min="7" max="7" width="7" style="118" customWidth="1"/>
    <col min="8" max="8" width="7.1640625" style="118" customWidth="1"/>
    <col min="9" max="9" width="1.5" style="118" customWidth="1"/>
    <col min="10" max="10" width="1.6640625" style="118" customWidth="1"/>
    <col min="11" max="11" width="2.1640625" style="118" customWidth="1"/>
    <col min="12" max="12" width="1.6640625" style="118" customWidth="1"/>
    <col min="13" max="13" width="3.83203125" style="118" customWidth="1"/>
    <col min="14" max="14" width="2.6640625" style="118" customWidth="1"/>
    <col min="15" max="15" width="3.83203125" style="118" customWidth="1"/>
    <col min="16" max="16" width="2.6640625" style="118" customWidth="1"/>
    <col min="17" max="17" width="7" style="118" customWidth="1"/>
    <col min="18" max="18" width="3.33203125" style="118" customWidth="1"/>
    <col min="19" max="22" width="1.83203125" style="118" customWidth="1"/>
    <col min="23" max="23" width="0.6640625" style="118" customWidth="1"/>
    <col min="24" max="25" width="1.83203125" style="118" customWidth="1"/>
    <col min="26" max="26" width="7.6640625" style="118" customWidth="1"/>
    <col min="27" max="29" width="9" style="118"/>
    <col min="30" max="30" width="9.33203125" style="118" customWidth="1"/>
    <col min="31" max="32" width="9" style="118"/>
    <col min="33" max="33" width="6.6640625" style="118" customWidth="1"/>
    <col min="34" max="34" width="7.6640625" style="118" customWidth="1"/>
    <col min="35" max="35" width="6.83203125" style="118" customWidth="1"/>
    <col min="36" max="36" width="12.33203125" style="118" customWidth="1"/>
    <col min="37" max="37" width="8" style="118" customWidth="1"/>
    <col min="38" max="16384" width="9" style="118"/>
  </cols>
  <sheetData>
    <row r="1" spans="1:39" ht="16.5" customHeight="1">
      <c r="A1" s="119"/>
      <c r="B1" s="357" t="s">
        <v>48</v>
      </c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138"/>
      <c r="N1" s="139"/>
      <c r="O1" s="139"/>
      <c r="P1" s="139"/>
      <c r="Q1" s="358" t="s">
        <v>49</v>
      </c>
      <c r="R1" s="358"/>
      <c r="S1" s="358"/>
      <c r="T1" s="358"/>
      <c r="U1" s="358"/>
      <c r="V1" s="358"/>
      <c r="W1" s="358"/>
      <c r="X1" s="358"/>
      <c r="Y1" s="358"/>
      <c r="Z1" s="358"/>
      <c r="AA1" s="119"/>
      <c r="AB1" s="119"/>
      <c r="AC1" s="119"/>
      <c r="AD1" s="119"/>
      <c r="AE1" s="119"/>
      <c r="AF1" s="119"/>
      <c r="AG1" s="190"/>
      <c r="AH1" s="190"/>
      <c r="AI1" s="190"/>
      <c r="AJ1" s="190"/>
      <c r="AK1" s="190"/>
      <c r="AL1" s="190"/>
      <c r="AM1" s="190"/>
    </row>
    <row r="2" spans="1:39" ht="12" customHeight="1">
      <c r="A2" s="119"/>
      <c r="B2" s="359" t="s">
        <v>2</v>
      </c>
      <c r="C2" s="359"/>
      <c r="D2" s="359"/>
      <c r="E2" s="359"/>
      <c r="F2" s="359"/>
      <c r="G2" s="359"/>
      <c r="H2" s="359"/>
      <c r="I2" s="359"/>
      <c r="J2" s="359"/>
      <c r="K2" s="359"/>
      <c r="L2" s="359"/>
      <c r="M2" s="359"/>
      <c r="N2" s="140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19"/>
      <c r="AA2" s="119"/>
      <c r="AB2" s="119"/>
      <c r="AC2" s="119"/>
      <c r="AD2" s="119"/>
      <c r="AE2" s="119"/>
      <c r="AF2" s="119"/>
      <c r="AG2" s="190"/>
      <c r="AH2" s="190"/>
      <c r="AI2" s="190"/>
      <c r="AJ2" s="190"/>
      <c r="AK2" s="190"/>
      <c r="AL2" s="190"/>
      <c r="AM2" s="190"/>
    </row>
    <row r="3" spans="1:39" ht="15" customHeight="1">
      <c r="A3" s="360"/>
      <c r="B3" s="360"/>
      <c r="C3" s="360"/>
      <c r="D3" s="360"/>
      <c r="E3" s="360"/>
      <c r="F3" s="360"/>
      <c r="G3" s="360"/>
      <c r="H3" s="360"/>
      <c r="I3" s="360"/>
      <c r="J3" s="360"/>
      <c r="K3" s="360"/>
      <c r="L3" s="360"/>
      <c r="M3" s="360"/>
      <c r="N3" s="360"/>
      <c r="O3" s="360"/>
      <c r="P3" s="360"/>
      <c r="Q3" s="360"/>
      <c r="R3" s="361" t="s">
        <v>5</v>
      </c>
      <c r="S3" s="361"/>
      <c r="T3" s="362" t="str">
        <f>IF(工作记录单!N5="","",工作记录单!N5)</f>
        <v>32110202104000114</v>
      </c>
      <c r="U3" s="362"/>
      <c r="V3" s="362"/>
      <c r="W3" s="362"/>
      <c r="X3" s="362"/>
      <c r="Y3" s="362"/>
      <c r="Z3" s="363"/>
      <c r="AA3" s="119"/>
      <c r="AB3" s="119"/>
      <c r="AC3" s="119"/>
      <c r="AD3" s="119"/>
      <c r="AE3" s="119"/>
      <c r="AF3" s="119"/>
      <c r="AG3" s="190"/>
      <c r="AH3" s="190"/>
      <c r="AI3" s="190"/>
      <c r="AJ3" s="190"/>
      <c r="AK3" s="190"/>
      <c r="AL3" s="190"/>
      <c r="AM3" s="190"/>
    </row>
    <row r="4" spans="1:39" ht="37" customHeight="1">
      <c r="A4" s="364" t="s">
        <v>50</v>
      </c>
      <c r="B4" s="364"/>
      <c r="C4" s="364"/>
      <c r="D4" s="364"/>
      <c r="E4" s="364"/>
      <c r="F4" s="364"/>
      <c r="G4" s="364"/>
      <c r="H4" s="364"/>
      <c r="I4" s="364"/>
      <c r="J4" s="364"/>
      <c r="K4" s="364"/>
      <c r="L4" s="364"/>
      <c r="M4" s="364"/>
      <c r="N4" s="364"/>
      <c r="O4" s="364"/>
      <c r="P4" s="364"/>
      <c r="Q4" s="364"/>
      <c r="R4" s="364"/>
      <c r="S4" s="364"/>
      <c r="T4" s="364"/>
      <c r="U4" s="364"/>
      <c r="V4" s="364"/>
      <c r="W4" s="364"/>
      <c r="X4" s="364"/>
      <c r="Y4" s="364"/>
      <c r="Z4" s="364"/>
      <c r="AA4" s="119"/>
      <c r="AB4" s="119"/>
      <c r="AC4" s="119"/>
      <c r="AD4" s="119"/>
      <c r="AE4" s="119"/>
      <c r="AF4" s="119"/>
      <c r="AG4" s="103" t="s">
        <v>51</v>
      </c>
      <c r="AH4" s="190"/>
      <c r="AI4" s="190"/>
      <c r="AJ4" s="190"/>
      <c r="AK4" s="190"/>
      <c r="AL4" s="190"/>
      <c r="AM4" s="190"/>
    </row>
    <row r="5" spans="1:39" ht="17">
      <c r="A5" s="119"/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44"/>
      <c r="R5" s="145"/>
      <c r="S5" s="146" t="str">
        <f>IF(工作记录单!T5="装货","装","")</f>
        <v/>
      </c>
      <c r="T5" s="147" t="str">
        <f>IF(工作记录单!T5="装货","卸","装")</f>
        <v>装</v>
      </c>
      <c r="U5" s="146" t="str">
        <f>IF(工作记录单!T5="装货","载","卸")</f>
        <v>卸</v>
      </c>
      <c r="V5" s="146" t="str">
        <f>IF(工作记录单!T5="装货","/","载")</f>
        <v>载</v>
      </c>
      <c r="W5" s="146" t="str">
        <f>IF(工作记录单!T5="装货","","/")</f>
        <v>/</v>
      </c>
      <c r="X5" s="146" t="s">
        <v>52</v>
      </c>
      <c r="Y5" s="147" t="s">
        <v>53</v>
      </c>
      <c r="Z5" s="151"/>
      <c r="AA5" s="119"/>
      <c r="AB5" s="119" t="s">
        <v>54</v>
      </c>
      <c r="AC5" s="119"/>
      <c r="AD5" s="119"/>
      <c r="AE5" s="119"/>
      <c r="AF5" s="119"/>
      <c r="AG5" s="190"/>
      <c r="AH5" s="190"/>
      <c r="AI5" s="190"/>
      <c r="AJ5" s="190"/>
      <c r="AK5" s="190"/>
      <c r="AL5" s="190"/>
      <c r="AM5" s="190"/>
    </row>
    <row r="6" spans="1:39" ht="15.75" customHeight="1">
      <c r="A6" s="120" t="s">
        <v>55</v>
      </c>
      <c r="B6" s="452" t="str">
        <f>工作记录单!C7</f>
        <v>MOUNT BOLIVAR</v>
      </c>
      <c r="C6" s="452"/>
      <c r="D6" s="452"/>
      <c r="E6" s="452"/>
      <c r="F6" s="454"/>
      <c r="G6" s="130" t="s">
        <v>56</v>
      </c>
      <c r="H6" s="452" t="str">
        <f>工作记录单!U7</f>
        <v>董家口</v>
      </c>
      <c r="I6" s="452"/>
      <c r="J6" s="452"/>
      <c r="K6" s="452"/>
      <c r="L6" s="365" t="s">
        <v>57</v>
      </c>
      <c r="M6" s="366"/>
      <c r="N6" s="452" t="str">
        <f>工作记录单!F7</f>
        <v>铁矿</v>
      </c>
      <c r="O6" s="452"/>
      <c r="P6" s="452"/>
      <c r="Q6" s="454"/>
      <c r="R6" s="365" t="s">
        <v>58</v>
      </c>
      <c r="S6" s="366"/>
      <c r="T6" s="459">
        <f>工作记录单!D12</f>
        <v>44337</v>
      </c>
      <c r="U6" s="459"/>
      <c r="V6" s="459"/>
      <c r="W6" s="459"/>
      <c r="X6" s="459"/>
      <c r="Y6" s="459"/>
      <c r="Z6" s="460"/>
      <c r="AA6" s="119"/>
      <c r="AB6" s="152" t="s">
        <v>59</v>
      </c>
      <c r="AC6" s="167"/>
      <c r="AD6" s="119"/>
      <c r="AE6" s="119"/>
      <c r="AF6" s="119"/>
      <c r="AG6" s="190"/>
      <c r="AH6" s="190"/>
      <c r="AI6" s="190"/>
      <c r="AJ6" s="190"/>
      <c r="AK6" s="190"/>
      <c r="AL6" s="190"/>
      <c r="AM6" s="190"/>
    </row>
    <row r="7" spans="1:39" ht="15" customHeight="1">
      <c r="A7" s="121"/>
      <c r="B7" s="453"/>
      <c r="C7" s="453"/>
      <c r="D7" s="453"/>
      <c r="E7" s="453"/>
      <c r="F7" s="455"/>
      <c r="G7" s="131"/>
      <c r="H7" s="453"/>
      <c r="I7" s="453"/>
      <c r="J7" s="453"/>
      <c r="K7" s="453"/>
      <c r="L7" s="121"/>
      <c r="M7" s="142"/>
      <c r="N7" s="453"/>
      <c r="O7" s="453"/>
      <c r="P7" s="453"/>
      <c r="Q7" s="455"/>
      <c r="R7" s="121"/>
      <c r="S7" s="142"/>
      <c r="T7" s="461"/>
      <c r="U7" s="461"/>
      <c r="V7" s="461"/>
      <c r="W7" s="461"/>
      <c r="X7" s="461"/>
      <c r="Y7" s="461"/>
      <c r="Z7" s="462"/>
      <c r="AA7" s="119"/>
      <c r="AB7" s="153" t="s">
        <v>60</v>
      </c>
      <c r="AC7" s="167"/>
      <c r="AD7" s="119"/>
      <c r="AE7" s="119"/>
      <c r="AF7" s="119"/>
      <c r="AG7" s="190"/>
      <c r="AH7" s="190"/>
      <c r="AI7" s="190"/>
      <c r="AJ7" s="190"/>
      <c r="AK7" s="190"/>
      <c r="AL7" s="190"/>
      <c r="AM7" s="190"/>
    </row>
    <row r="8" spans="1:39" ht="13" customHeight="1">
      <c r="A8" s="122"/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19"/>
      <c r="AB8" s="152" t="s">
        <v>61</v>
      </c>
      <c r="AC8" s="167"/>
      <c r="AD8" s="119"/>
      <c r="AE8" s="119"/>
      <c r="AF8" s="119"/>
      <c r="AG8" s="190"/>
      <c r="AH8" s="190"/>
      <c r="AI8" s="190"/>
      <c r="AJ8" s="190"/>
      <c r="AK8" s="190"/>
      <c r="AL8" s="190"/>
      <c r="AM8" s="190"/>
    </row>
    <row r="9" spans="1:39" ht="19" customHeight="1">
      <c r="A9" s="367" t="s">
        <v>62</v>
      </c>
      <c r="B9" s="368"/>
      <c r="C9" s="369"/>
      <c r="D9" s="370" t="s">
        <v>63</v>
      </c>
      <c r="E9" s="370"/>
      <c r="F9" s="370"/>
      <c r="G9" s="371"/>
      <c r="H9" s="367" t="s">
        <v>64</v>
      </c>
      <c r="I9" s="368"/>
      <c r="J9" s="368"/>
      <c r="K9" s="368"/>
      <c r="L9" s="372" t="s">
        <v>65</v>
      </c>
      <c r="M9" s="372"/>
      <c r="N9" s="372"/>
      <c r="O9" s="373"/>
      <c r="P9" s="367" t="s">
        <v>66</v>
      </c>
      <c r="Q9" s="368"/>
      <c r="R9" s="369"/>
      <c r="S9" s="374" t="e">
        <f t="shared" ref="S9:S11" si="0">(D9+L9)/2</f>
        <v>#VALUE!</v>
      </c>
      <c r="T9" s="375"/>
      <c r="U9" s="375"/>
      <c r="V9" s="375"/>
      <c r="W9" s="375"/>
      <c r="X9" s="375"/>
      <c r="Y9" s="375"/>
      <c r="Z9" s="376"/>
      <c r="AA9" s="119"/>
      <c r="AB9" s="119"/>
      <c r="AC9" s="119"/>
      <c r="AD9" s="119"/>
      <c r="AE9" s="119"/>
      <c r="AF9" s="119"/>
      <c r="AG9" s="190"/>
      <c r="AH9" s="190"/>
      <c r="AI9" s="190"/>
      <c r="AJ9" s="190"/>
      <c r="AK9" s="190"/>
      <c r="AL9" s="190"/>
      <c r="AM9" s="190"/>
    </row>
    <row r="10" spans="1:39" ht="19" customHeight="1">
      <c r="A10" s="367" t="s">
        <v>67</v>
      </c>
      <c r="B10" s="368"/>
      <c r="C10" s="369"/>
      <c r="D10" s="370" t="s">
        <v>68</v>
      </c>
      <c r="E10" s="370"/>
      <c r="F10" s="370"/>
      <c r="G10" s="371"/>
      <c r="H10" s="367" t="s">
        <v>69</v>
      </c>
      <c r="I10" s="368"/>
      <c r="J10" s="368"/>
      <c r="K10" s="368"/>
      <c r="L10" s="372" t="s">
        <v>70</v>
      </c>
      <c r="M10" s="372"/>
      <c r="N10" s="372"/>
      <c r="O10" s="373"/>
      <c r="P10" s="367" t="s">
        <v>71</v>
      </c>
      <c r="Q10" s="368"/>
      <c r="R10" s="369"/>
      <c r="S10" s="374" t="e">
        <f t="shared" si="0"/>
        <v>#VALUE!</v>
      </c>
      <c r="T10" s="375"/>
      <c r="U10" s="375"/>
      <c r="V10" s="375"/>
      <c r="W10" s="375"/>
      <c r="X10" s="375"/>
      <c r="Y10" s="375"/>
      <c r="Z10" s="376"/>
      <c r="AA10" s="119"/>
      <c r="AB10" s="119"/>
      <c r="AC10" s="119"/>
      <c r="AD10" s="119"/>
      <c r="AE10" s="119"/>
      <c r="AF10" s="119"/>
      <c r="AG10" s="190"/>
      <c r="AH10" s="190"/>
      <c r="AI10" s="190"/>
      <c r="AJ10" s="190"/>
      <c r="AK10" s="190"/>
      <c r="AL10" s="190"/>
      <c r="AM10" s="190"/>
    </row>
    <row r="11" spans="1:39" ht="19" customHeight="1">
      <c r="A11" s="367" t="s">
        <v>72</v>
      </c>
      <c r="B11" s="368"/>
      <c r="C11" s="369"/>
      <c r="D11" s="370" t="s">
        <v>73</v>
      </c>
      <c r="E11" s="370"/>
      <c r="F11" s="370"/>
      <c r="G11" s="371"/>
      <c r="H11" s="367" t="s">
        <v>74</v>
      </c>
      <c r="I11" s="368"/>
      <c r="J11" s="368"/>
      <c r="K11" s="368"/>
      <c r="L11" s="372" t="s">
        <v>75</v>
      </c>
      <c r="M11" s="372"/>
      <c r="N11" s="372"/>
      <c r="O11" s="373"/>
      <c r="P11" s="367" t="s">
        <v>76</v>
      </c>
      <c r="Q11" s="368"/>
      <c r="R11" s="369"/>
      <c r="S11" s="374" t="e">
        <f t="shared" si="0"/>
        <v>#VALUE!</v>
      </c>
      <c r="T11" s="375"/>
      <c r="U11" s="375"/>
      <c r="V11" s="375"/>
      <c r="W11" s="375"/>
      <c r="X11" s="375"/>
      <c r="Y11" s="375"/>
      <c r="Z11" s="376"/>
      <c r="AA11" s="119"/>
      <c r="AB11" s="119"/>
      <c r="AC11" s="119"/>
      <c r="AD11" s="119"/>
      <c r="AE11" s="119"/>
      <c r="AF11" s="119"/>
      <c r="AG11" s="190"/>
      <c r="AH11" s="190"/>
      <c r="AI11" s="190"/>
      <c r="AJ11" s="190"/>
      <c r="AK11" s="190"/>
      <c r="AL11" s="190"/>
      <c r="AM11" s="190"/>
    </row>
    <row r="12" spans="1:39" ht="13" customHeight="1">
      <c r="A12" s="122"/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19"/>
      <c r="AB12" s="154" t="s">
        <v>77</v>
      </c>
      <c r="AC12" s="168" t="s">
        <v>78</v>
      </c>
      <c r="AD12" s="168" t="s">
        <v>79</v>
      </c>
      <c r="AE12" s="169" t="s">
        <v>80</v>
      </c>
      <c r="AF12" s="119"/>
      <c r="AG12" s="190"/>
      <c r="AH12" s="190"/>
      <c r="AI12" s="190"/>
      <c r="AJ12" s="190"/>
      <c r="AK12" s="190"/>
      <c r="AL12" s="190"/>
      <c r="AM12" s="190"/>
    </row>
    <row r="13" spans="1:39" ht="19" customHeight="1">
      <c r="A13" s="377" t="s">
        <v>81</v>
      </c>
      <c r="B13" s="378"/>
      <c r="C13" s="375" t="e">
        <f>S11-S9</f>
        <v>#VALUE!</v>
      </c>
      <c r="D13" s="375"/>
      <c r="E13" s="375"/>
      <c r="F13" s="375"/>
      <c r="G13" s="375"/>
      <c r="H13" s="375"/>
      <c r="I13" s="375"/>
      <c r="J13" s="375"/>
      <c r="K13" s="375"/>
      <c r="L13" s="456" t="s">
        <v>82</v>
      </c>
      <c r="M13" s="379"/>
      <c r="N13" s="379"/>
      <c r="O13" s="379"/>
      <c r="P13" s="379" t="s">
        <v>83</v>
      </c>
      <c r="Q13" s="379"/>
      <c r="R13" s="379"/>
      <c r="S13" s="379"/>
      <c r="T13" s="379"/>
      <c r="U13" s="379"/>
      <c r="V13" s="379"/>
      <c r="W13" s="379"/>
      <c r="X13" s="379"/>
      <c r="Y13" s="379"/>
      <c r="Z13" s="380"/>
      <c r="AA13" s="119"/>
      <c r="AB13" s="155"/>
      <c r="AC13" s="170" t="e">
        <f>C14/1200</f>
        <v>#VALUE!</v>
      </c>
      <c r="AD13" s="170" t="e">
        <f>C14/800</f>
        <v>#VALUE!</v>
      </c>
      <c r="AE13" s="171" t="e">
        <f>C14/600</f>
        <v>#VALUE!</v>
      </c>
      <c r="AF13" s="119"/>
      <c r="AG13" s="190"/>
      <c r="AH13" s="190"/>
      <c r="AI13" s="190"/>
      <c r="AJ13" s="190"/>
      <c r="AK13" s="190"/>
      <c r="AL13" s="190"/>
      <c r="AM13" s="190"/>
    </row>
    <row r="14" spans="1:39" ht="19" customHeight="1">
      <c r="A14" s="377" t="s">
        <v>84</v>
      </c>
      <c r="B14" s="378"/>
      <c r="C14" s="381" t="s">
        <v>85</v>
      </c>
      <c r="D14" s="381"/>
      <c r="E14" s="381"/>
      <c r="F14" s="382"/>
      <c r="G14" s="132" t="s">
        <v>86</v>
      </c>
      <c r="H14" s="383" t="s">
        <v>87</v>
      </c>
      <c r="I14" s="383"/>
      <c r="J14" s="383"/>
      <c r="K14" s="383"/>
      <c r="L14" s="457"/>
      <c r="M14" s="458"/>
      <c r="N14" s="458"/>
      <c r="O14" s="458"/>
      <c r="P14" s="384" t="s">
        <v>88</v>
      </c>
      <c r="Q14" s="384"/>
      <c r="R14" s="384"/>
      <c r="S14" s="384"/>
      <c r="T14" s="384"/>
      <c r="U14" s="384"/>
      <c r="V14" s="384"/>
      <c r="W14" s="384"/>
      <c r="X14" s="384"/>
      <c r="Y14" s="384"/>
      <c r="Z14" s="385"/>
      <c r="AA14" s="119"/>
      <c r="AB14" s="156"/>
      <c r="AC14" s="172"/>
      <c r="AD14" s="172"/>
      <c r="AE14" s="173"/>
      <c r="AF14" s="119"/>
      <c r="AG14" s="190"/>
      <c r="AH14" s="386"/>
      <c r="AI14" s="387"/>
      <c r="AJ14" s="386" t="s">
        <v>89</v>
      </c>
      <c r="AK14" s="387"/>
      <c r="AL14" s="190"/>
      <c r="AM14" s="190"/>
    </row>
    <row r="15" spans="1:39" ht="19" customHeight="1">
      <c r="A15" s="377" t="s">
        <v>90</v>
      </c>
      <c r="B15" s="378"/>
      <c r="C15" s="388" t="s">
        <v>91</v>
      </c>
      <c r="D15" s="388"/>
      <c r="E15" s="388"/>
      <c r="F15" s="389"/>
      <c r="G15" s="390" t="s">
        <v>92</v>
      </c>
      <c r="H15" s="390"/>
      <c r="I15" s="390"/>
      <c r="J15" s="390"/>
      <c r="K15" s="390"/>
      <c r="L15" s="374" t="e">
        <f t="shared" ref="L15:L18" si="1">IF(AND(INT(AJ15*10^(3+1))-10*INT(AJ15*10^(3))=5,MOD(INT(AJ15*10^3)-10*INT(AJ15*10^(3-1)),2)=0,INT(AJ15*10^(3+1))-AJ15*10^(3+1)=0),TRUNC(AJ15,3),ROUND(AJ15,3))</f>
        <v>#VALUE!</v>
      </c>
      <c r="M15" s="375"/>
      <c r="N15" s="375"/>
      <c r="O15" s="375"/>
      <c r="P15" s="391" t="s">
        <v>93</v>
      </c>
      <c r="Q15" s="390"/>
      <c r="R15" s="392"/>
      <c r="S15" s="375" t="e">
        <f t="shared" ref="S15:S17" si="2">S9+L15</f>
        <v>#VALUE!</v>
      </c>
      <c r="T15" s="375"/>
      <c r="U15" s="375"/>
      <c r="V15" s="375"/>
      <c r="W15" s="375"/>
      <c r="X15" s="375"/>
      <c r="Y15" s="375"/>
      <c r="Z15" s="376"/>
      <c r="AA15" s="201"/>
      <c r="AB15" s="157" t="s">
        <v>94</v>
      </c>
      <c r="AC15" s="174" t="e">
        <f>S16-(S15+S17)/2</f>
        <v>#VALUE!</v>
      </c>
      <c r="AD15" s="393" t="s">
        <v>95</v>
      </c>
      <c r="AE15" s="394"/>
      <c r="AF15" s="175"/>
      <c r="AG15" s="190"/>
      <c r="AH15" s="395" t="s">
        <v>96</v>
      </c>
      <c r="AI15" s="396"/>
      <c r="AJ15" s="192" t="e">
        <f>C13*C15/(C14+C15-C17)</f>
        <v>#VALUE!</v>
      </c>
      <c r="AK15" s="190"/>
      <c r="AL15" s="190"/>
      <c r="AM15" s="190"/>
    </row>
    <row r="16" spans="1:39" ht="19" customHeight="1">
      <c r="A16" s="377" t="s">
        <v>97</v>
      </c>
      <c r="B16" s="378"/>
      <c r="C16" s="388" t="s">
        <v>98</v>
      </c>
      <c r="D16" s="388"/>
      <c r="E16" s="388"/>
      <c r="F16" s="389"/>
      <c r="G16" s="390" t="s">
        <v>99</v>
      </c>
      <c r="H16" s="390"/>
      <c r="I16" s="390"/>
      <c r="J16" s="390"/>
      <c r="K16" s="390"/>
      <c r="L16" s="374" t="e">
        <f t="shared" si="1"/>
        <v>#VALUE!</v>
      </c>
      <c r="M16" s="375"/>
      <c r="N16" s="375"/>
      <c r="O16" s="375"/>
      <c r="P16" s="391" t="s">
        <v>100</v>
      </c>
      <c r="Q16" s="390"/>
      <c r="R16" s="392"/>
      <c r="S16" s="375" t="e">
        <f t="shared" si="2"/>
        <v>#VALUE!</v>
      </c>
      <c r="T16" s="375"/>
      <c r="U16" s="375"/>
      <c r="V16" s="375"/>
      <c r="W16" s="375"/>
      <c r="X16" s="375"/>
      <c r="Y16" s="375"/>
      <c r="Z16" s="376"/>
      <c r="AA16" s="201"/>
      <c r="AB16" s="119"/>
      <c r="AC16" s="119"/>
      <c r="AD16" s="119"/>
      <c r="AE16" s="119"/>
      <c r="AF16" s="119"/>
      <c r="AG16" s="190"/>
      <c r="AH16" s="397" t="s">
        <v>101</v>
      </c>
      <c r="AI16" s="398"/>
      <c r="AJ16" s="192" t="e">
        <f>C13*C16/(C14+C15-C17)</f>
        <v>#VALUE!</v>
      </c>
      <c r="AK16" s="190"/>
      <c r="AL16" s="190"/>
      <c r="AM16" s="190"/>
    </row>
    <row r="17" spans="1:39" ht="19" customHeight="1">
      <c r="A17" s="377" t="s">
        <v>102</v>
      </c>
      <c r="B17" s="378"/>
      <c r="C17" s="388" t="s">
        <v>103</v>
      </c>
      <c r="D17" s="388"/>
      <c r="E17" s="388"/>
      <c r="F17" s="389"/>
      <c r="G17" s="390" t="s">
        <v>104</v>
      </c>
      <c r="H17" s="390"/>
      <c r="I17" s="390"/>
      <c r="J17" s="390"/>
      <c r="K17" s="390"/>
      <c r="L17" s="374" t="e">
        <f t="shared" si="1"/>
        <v>#VALUE!</v>
      </c>
      <c r="M17" s="375"/>
      <c r="N17" s="375"/>
      <c r="O17" s="375"/>
      <c r="P17" s="391" t="s">
        <v>105</v>
      </c>
      <c r="Q17" s="390"/>
      <c r="R17" s="392"/>
      <c r="S17" s="375" t="e">
        <f t="shared" si="2"/>
        <v>#VALUE!</v>
      </c>
      <c r="T17" s="375"/>
      <c r="U17" s="375"/>
      <c r="V17" s="375"/>
      <c r="W17" s="375"/>
      <c r="X17" s="375"/>
      <c r="Y17" s="375"/>
      <c r="Z17" s="376"/>
      <c r="AA17" s="201"/>
      <c r="AB17" s="119"/>
      <c r="AC17" s="119"/>
      <c r="AD17" s="119"/>
      <c r="AE17" s="119"/>
      <c r="AF17" s="119"/>
      <c r="AG17" s="190"/>
      <c r="AH17" s="399" t="s">
        <v>106</v>
      </c>
      <c r="AI17" s="400"/>
      <c r="AJ17" s="209" t="e">
        <f>C13*C17/(C14+C15-C17)</f>
        <v>#VALUE!</v>
      </c>
      <c r="AK17" s="190"/>
      <c r="AL17" s="190"/>
      <c r="AM17" s="190"/>
    </row>
    <row r="18" spans="1:39" ht="19" customHeight="1">
      <c r="A18" s="377" t="s">
        <v>107</v>
      </c>
      <c r="B18" s="378"/>
      <c r="C18" s="401" t="e">
        <f>S17-S15</f>
        <v>#VALUE!</v>
      </c>
      <c r="D18" s="401"/>
      <c r="E18" s="401"/>
      <c r="F18" s="402"/>
      <c r="G18" s="403" t="s">
        <v>108</v>
      </c>
      <c r="H18" s="403"/>
      <c r="I18" s="403"/>
      <c r="J18" s="403"/>
      <c r="K18" s="404"/>
      <c r="L18" s="405" t="e">
        <f t="shared" si="1"/>
        <v>#VALUE!</v>
      </c>
      <c r="M18" s="405"/>
      <c r="N18" s="405"/>
      <c r="O18" s="405"/>
      <c r="P18" s="405"/>
      <c r="Q18" s="405"/>
      <c r="R18" s="405"/>
      <c r="S18" s="405"/>
      <c r="T18" s="405"/>
      <c r="U18" s="405"/>
      <c r="V18" s="405"/>
      <c r="W18" s="405"/>
      <c r="X18" s="405"/>
      <c r="Y18" s="405"/>
      <c r="Z18" s="406"/>
      <c r="AA18" s="119"/>
      <c r="AB18" s="158" t="s">
        <v>109</v>
      </c>
      <c r="AC18" s="176" t="s">
        <v>110</v>
      </c>
      <c r="AD18" s="158" t="s">
        <v>111</v>
      </c>
      <c r="AE18" s="177" t="s">
        <v>112</v>
      </c>
      <c r="AF18" s="119"/>
      <c r="AG18" s="190"/>
      <c r="AH18" s="407" t="s">
        <v>113</v>
      </c>
      <c r="AI18" s="387"/>
      <c r="AJ18" s="210" t="e">
        <f>(S15+6*S16+S17)/8</f>
        <v>#VALUE!</v>
      </c>
      <c r="AK18" s="190"/>
      <c r="AL18" s="190"/>
      <c r="AM18" s="190"/>
    </row>
    <row r="19" spans="1:39" ht="13" customHeight="1">
      <c r="A19" s="122"/>
      <c r="B19" s="122"/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42"/>
      <c r="AA19" s="119"/>
      <c r="AB19" s="158" t="s">
        <v>114</v>
      </c>
      <c r="AC19" s="170" t="e">
        <f>L18-AC18</f>
        <v>#VALUE!</v>
      </c>
      <c r="AD19" s="158" t="s">
        <v>115</v>
      </c>
      <c r="AE19" s="178" t="e">
        <f>AE18+(AC19-AC20)*100*B21</f>
        <v>#VALUE!</v>
      </c>
      <c r="AF19" s="119"/>
      <c r="AG19" s="190"/>
      <c r="AH19" s="386"/>
      <c r="AI19" s="387"/>
      <c r="AJ19" s="210"/>
      <c r="AK19" s="190"/>
      <c r="AL19" s="190"/>
      <c r="AM19" s="190"/>
    </row>
    <row r="20" spans="1:39" ht="19" customHeight="1">
      <c r="A20" s="123" t="s">
        <v>116</v>
      </c>
      <c r="B20" s="124"/>
      <c r="C20" s="124"/>
      <c r="D20" s="124"/>
      <c r="E20" s="133"/>
      <c r="F20" s="133"/>
      <c r="G20" s="124"/>
      <c r="H20" s="124"/>
      <c r="I20" s="133"/>
      <c r="J20" s="133"/>
      <c r="K20" s="133"/>
      <c r="L20" s="133"/>
      <c r="M20" s="124"/>
      <c r="N20" s="124"/>
      <c r="O20" s="124"/>
      <c r="P20" s="124"/>
      <c r="Q20" s="124"/>
      <c r="R20" s="124"/>
      <c r="S20" s="124"/>
      <c r="T20" s="408" t="e">
        <f>'计算用，请勿动！'!B9</f>
        <v>#VALUE!</v>
      </c>
      <c r="U20" s="409"/>
      <c r="V20" s="409"/>
      <c r="W20" s="409"/>
      <c r="X20" s="409"/>
      <c r="Y20" s="409"/>
      <c r="Z20" s="410"/>
      <c r="AA20" s="119"/>
      <c r="AB20" s="158" t="s">
        <v>117</v>
      </c>
      <c r="AC20" s="176"/>
      <c r="AD20" s="180" t="s">
        <v>118</v>
      </c>
      <c r="AE20" s="180"/>
      <c r="AF20" s="180"/>
      <c r="AG20" s="211"/>
      <c r="AH20" s="190"/>
      <c r="AI20" s="190"/>
      <c r="AJ20" s="190"/>
      <c r="AK20" s="190"/>
      <c r="AL20" s="190"/>
      <c r="AM20" s="190"/>
    </row>
    <row r="21" spans="1:39" ht="24.75" customHeight="1">
      <c r="A21" s="125" t="s">
        <v>119</v>
      </c>
      <c r="B21" s="411" t="s">
        <v>120</v>
      </c>
      <c r="C21" s="412"/>
      <c r="D21" s="413"/>
      <c r="E21" s="414" t="s">
        <v>121</v>
      </c>
      <c r="F21" s="385"/>
      <c r="G21" s="200" t="s">
        <v>122</v>
      </c>
      <c r="H21" s="135" t="s">
        <v>123</v>
      </c>
      <c r="I21" s="415" t="s">
        <v>124</v>
      </c>
      <c r="J21" s="416"/>
      <c r="K21" s="416"/>
      <c r="L21" s="417"/>
      <c r="M21" s="379" t="s">
        <v>125</v>
      </c>
      <c r="N21" s="380"/>
      <c r="O21" s="415" t="s">
        <v>126</v>
      </c>
      <c r="P21" s="417"/>
      <c r="Q21" s="418" t="s">
        <v>127</v>
      </c>
      <c r="R21" s="419"/>
      <c r="S21" s="419"/>
      <c r="T21" s="420" t="e">
        <f>I21-O21</f>
        <v>#VALUE!</v>
      </c>
      <c r="U21" s="421"/>
      <c r="V21" s="421"/>
      <c r="W21" s="421"/>
      <c r="X21" s="421"/>
      <c r="Y21" s="421"/>
      <c r="Z21" s="422"/>
      <c r="AA21" s="119"/>
      <c r="AB21" s="159" t="s">
        <v>128</v>
      </c>
      <c r="AC21" s="203"/>
      <c r="AD21" s="182" t="s">
        <v>129</v>
      </c>
      <c r="AE21" s="172" t="str">
        <f>IF(AC21="","",C14/2-AC21)</f>
        <v/>
      </c>
      <c r="AF21" s="183" t="s">
        <v>130</v>
      </c>
      <c r="AG21" s="190"/>
      <c r="AH21" s="190"/>
      <c r="AI21" s="190"/>
      <c r="AJ21" s="190"/>
      <c r="AK21" s="190"/>
      <c r="AL21" s="190"/>
      <c r="AM21" s="190"/>
    </row>
    <row r="22" spans="1:39" ht="19" customHeight="1">
      <c r="A22" s="377" t="s">
        <v>131</v>
      </c>
      <c r="B22" s="423"/>
      <c r="C22" s="423"/>
      <c r="D22" s="423"/>
      <c r="E22" s="424"/>
      <c r="F22" s="424"/>
      <c r="G22" s="423"/>
      <c r="H22" s="423"/>
      <c r="I22" s="424"/>
      <c r="J22" s="424"/>
      <c r="K22" s="425"/>
      <c r="L22" s="426" t="s">
        <v>132</v>
      </c>
      <c r="M22" s="390"/>
      <c r="N22" s="390"/>
      <c r="O22" s="390"/>
      <c r="P22" s="390"/>
      <c r="Q22" s="390"/>
      <c r="R22" s="390"/>
      <c r="S22" s="390"/>
      <c r="T22" s="408" t="e">
        <f>'计算用，请勿动！'!B10</f>
        <v>#VALUE!</v>
      </c>
      <c r="U22" s="409"/>
      <c r="V22" s="409"/>
      <c r="W22" s="409"/>
      <c r="X22" s="409"/>
      <c r="Y22" s="409"/>
      <c r="Z22" s="410"/>
      <c r="AA22" s="119"/>
      <c r="AB22" s="427"/>
      <c r="AC22" s="427"/>
      <c r="AD22" s="427"/>
      <c r="AE22" s="427"/>
      <c r="AF22" s="119"/>
      <c r="AG22" s="190"/>
      <c r="AH22" s="190"/>
      <c r="AI22" s="190"/>
      <c r="AJ22" s="190"/>
      <c r="AK22" s="190"/>
      <c r="AL22" s="190"/>
      <c r="AM22" s="190"/>
    </row>
    <row r="23" spans="1:39" ht="19" customHeight="1">
      <c r="A23" s="377" t="s">
        <v>133</v>
      </c>
      <c r="B23" s="423"/>
      <c r="C23" s="423"/>
      <c r="D23" s="423"/>
      <c r="E23" s="423"/>
      <c r="F23" s="423"/>
      <c r="G23" s="423"/>
      <c r="H23" s="423"/>
      <c r="I23" s="423"/>
      <c r="J23" s="423"/>
      <c r="K23" s="378"/>
      <c r="L23" s="391" t="s">
        <v>134</v>
      </c>
      <c r="M23" s="390"/>
      <c r="N23" s="390"/>
      <c r="O23" s="390"/>
      <c r="P23" s="390"/>
      <c r="Q23" s="390"/>
      <c r="R23" s="366"/>
      <c r="S23" s="366"/>
      <c r="T23" s="408" t="e">
        <f>'计算用，请勿动！'!B11</f>
        <v>#VALUE!</v>
      </c>
      <c r="U23" s="409"/>
      <c r="V23" s="409"/>
      <c r="W23" s="409"/>
      <c r="X23" s="409"/>
      <c r="Y23" s="409"/>
      <c r="Z23" s="410"/>
      <c r="AA23" s="119"/>
      <c r="AB23" s="202" t="s">
        <v>135</v>
      </c>
      <c r="AC23" s="202" t="s">
        <v>136</v>
      </c>
      <c r="AD23" s="204" t="s">
        <v>137</v>
      </c>
      <c r="AE23" s="119"/>
      <c r="AF23" s="119"/>
      <c r="AG23" s="190"/>
      <c r="AH23" s="190"/>
      <c r="AI23" s="190"/>
      <c r="AJ23" s="190"/>
      <c r="AK23" s="190"/>
      <c r="AL23" s="190"/>
      <c r="AM23" s="190"/>
    </row>
    <row r="24" spans="1:39" ht="19" customHeight="1">
      <c r="A24" s="391" t="s">
        <v>138</v>
      </c>
      <c r="B24" s="390"/>
      <c r="C24" s="390"/>
      <c r="D24" s="390"/>
      <c r="E24" s="390"/>
      <c r="F24" s="390"/>
      <c r="G24" s="390"/>
      <c r="H24" s="390"/>
      <c r="I24" s="390"/>
      <c r="J24" s="390"/>
      <c r="K24" s="390"/>
      <c r="L24" s="390"/>
      <c r="M24" s="390"/>
      <c r="N24" s="390"/>
      <c r="O24" s="366"/>
      <c r="P24" s="366"/>
      <c r="Q24" s="366"/>
      <c r="R24" s="148"/>
      <c r="S24" s="148"/>
      <c r="T24" s="408" t="e">
        <f>'计算用，请勿动！'!B12</f>
        <v>#VALUE!</v>
      </c>
      <c r="U24" s="409"/>
      <c r="V24" s="409"/>
      <c r="W24" s="409"/>
      <c r="X24" s="409"/>
      <c r="Y24" s="409"/>
      <c r="Z24" s="410"/>
      <c r="AA24" s="119"/>
      <c r="AB24" s="161" t="e">
        <f>S16</f>
        <v>#VALUE!</v>
      </c>
      <c r="AC24" s="184" t="e">
        <f>'计算用，请勿动！'!B6</f>
        <v>#VALUE!</v>
      </c>
      <c r="AD24" s="184" t="e">
        <f>'计算用，请勿动！'!B7</f>
        <v>#VALUE!</v>
      </c>
      <c r="AE24" s="119"/>
      <c r="AF24" s="119"/>
      <c r="AG24" s="190"/>
      <c r="AH24" s="190"/>
      <c r="AI24" s="190"/>
      <c r="AJ24" s="190"/>
      <c r="AK24" s="190"/>
      <c r="AL24" s="190"/>
      <c r="AM24" s="190"/>
    </row>
    <row r="25" spans="1:39" ht="19" customHeight="1">
      <c r="A25" s="391" t="s">
        <v>139</v>
      </c>
      <c r="B25" s="390"/>
      <c r="C25" s="392"/>
      <c r="D25" s="428">
        <v>1.0249999999999999</v>
      </c>
      <c r="E25" s="429"/>
      <c r="F25" s="430"/>
      <c r="G25" s="431" t="s">
        <v>140</v>
      </c>
      <c r="H25" s="432"/>
      <c r="I25" s="432"/>
      <c r="J25" s="432"/>
      <c r="K25" s="433"/>
      <c r="L25" s="428" t="s">
        <v>141</v>
      </c>
      <c r="M25" s="429"/>
      <c r="N25" s="429"/>
      <c r="O25" s="434"/>
      <c r="P25" s="435" t="s">
        <v>142</v>
      </c>
      <c r="Q25" s="435"/>
      <c r="R25" s="435"/>
      <c r="S25" s="435"/>
      <c r="T25" s="408" t="e">
        <f>'计算用，请勿动！'!B13</f>
        <v>#VALUE!</v>
      </c>
      <c r="U25" s="409"/>
      <c r="V25" s="409"/>
      <c r="W25" s="409"/>
      <c r="X25" s="409"/>
      <c r="Y25" s="409"/>
      <c r="Z25" s="410"/>
      <c r="AA25" s="119"/>
      <c r="AB25" s="119"/>
      <c r="AC25" s="119"/>
      <c r="AD25" s="119"/>
      <c r="AE25" s="119"/>
      <c r="AF25" s="119"/>
      <c r="AG25" s="190"/>
      <c r="AH25" s="190"/>
      <c r="AI25" s="190"/>
      <c r="AJ25" s="190"/>
      <c r="AK25" s="190"/>
      <c r="AL25" s="190"/>
      <c r="AM25" s="190"/>
    </row>
    <row r="26" spans="1:39" ht="19" customHeight="1">
      <c r="A26" s="391" t="s">
        <v>143</v>
      </c>
      <c r="B26" s="390"/>
      <c r="C26" s="390"/>
      <c r="D26" s="390"/>
      <c r="E26" s="390"/>
      <c r="F26" s="390"/>
      <c r="G26" s="390"/>
      <c r="H26" s="390"/>
      <c r="I26" s="390"/>
      <c r="J26" s="390"/>
      <c r="K26" s="390"/>
      <c r="L26" s="390"/>
      <c r="M26" s="390"/>
      <c r="N26" s="390"/>
      <c r="O26" s="390"/>
      <c r="P26" s="390"/>
      <c r="Q26" s="390"/>
      <c r="R26" s="149"/>
      <c r="S26" s="149"/>
      <c r="T26" s="408" t="e">
        <f>'计算用，请勿动！'!B14</f>
        <v>#VALUE!</v>
      </c>
      <c r="U26" s="409"/>
      <c r="V26" s="409"/>
      <c r="W26" s="409"/>
      <c r="X26" s="409"/>
      <c r="Y26" s="409"/>
      <c r="Z26" s="410"/>
      <c r="AA26" s="119"/>
      <c r="AB26" s="119"/>
      <c r="AC26" s="119"/>
      <c r="AD26" s="119"/>
      <c r="AE26" s="119"/>
      <c r="AF26" s="119"/>
      <c r="AG26" s="190"/>
      <c r="AH26" s="190"/>
      <c r="AI26" s="190"/>
      <c r="AJ26" s="190"/>
      <c r="AK26" s="190"/>
      <c r="AL26" s="190"/>
      <c r="AM26" s="190"/>
    </row>
    <row r="27" spans="1:39" ht="13" customHeight="1">
      <c r="A27" s="122"/>
      <c r="B27" s="122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  <c r="AA27" s="119"/>
      <c r="AB27" s="162" t="s">
        <v>144</v>
      </c>
      <c r="AC27" s="186" t="s">
        <v>145</v>
      </c>
      <c r="AD27" s="119" t="s">
        <v>146</v>
      </c>
      <c r="AE27" s="119"/>
      <c r="AF27" s="119"/>
      <c r="AG27" s="190"/>
      <c r="AH27" s="190"/>
      <c r="AI27" s="190"/>
      <c r="AJ27" s="190"/>
      <c r="AK27" s="190"/>
      <c r="AL27" s="190"/>
      <c r="AM27" s="190"/>
    </row>
    <row r="28" spans="1:39" ht="19" customHeight="1">
      <c r="A28" s="391" t="s">
        <v>147</v>
      </c>
      <c r="B28" s="390"/>
      <c r="C28" s="390"/>
      <c r="D28" s="408" t="e">
        <f>'计算用，请勿动！'!B15</f>
        <v>#VALUE!</v>
      </c>
      <c r="E28" s="409"/>
      <c r="F28" s="409"/>
      <c r="G28" s="410"/>
      <c r="H28" s="390" t="s">
        <v>148</v>
      </c>
      <c r="I28" s="390"/>
      <c r="J28" s="390"/>
      <c r="K28" s="436"/>
      <c r="L28" s="409">
        <f>压载水!E42</f>
        <v>0</v>
      </c>
      <c r="M28" s="409"/>
      <c r="N28" s="409"/>
      <c r="O28" s="409"/>
      <c r="P28" s="409"/>
      <c r="Q28" s="391" t="s">
        <v>149</v>
      </c>
      <c r="R28" s="390"/>
      <c r="S28" s="392"/>
      <c r="T28" s="409">
        <f>SUM(AC27:AC29)</f>
        <v>0</v>
      </c>
      <c r="U28" s="409"/>
      <c r="V28" s="409"/>
      <c r="W28" s="409"/>
      <c r="X28" s="409"/>
      <c r="Y28" s="409"/>
      <c r="Z28" s="410"/>
      <c r="AA28" s="119"/>
      <c r="AB28" s="162" t="s">
        <v>150</v>
      </c>
      <c r="AC28" s="186" t="s">
        <v>151</v>
      </c>
      <c r="AD28" s="119" t="s">
        <v>146</v>
      </c>
      <c r="AE28" s="119"/>
      <c r="AF28" s="119"/>
      <c r="AG28" s="190"/>
      <c r="AH28" s="190"/>
      <c r="AI28" s="190"/>
      <c r="AJ28" s="190"/>
      <c r="AK28" s="190"/>
      <c r="AL28" s="190"/>
      <c r="AM28" s="190"/>
    </row>
    <row r="29" spans="1:39" ht="19" customHeight="1">
      <c r="A29" s="391" t="s">
        <v>152</v>
      </c>
      <c r="B29" s="390"/>
      <c r="C29" s="390"/>
      <c r="D29" s="390"/>
      <c r="E29" s="390"/>
      <c r="F29" s="390"/>
      <c r="G29" s="390"/>
      <c r="H29" s="390"/>
      <c r="I29" s="390"/>
      <c r="J29" s="390"/>
      <c r="K29" s="390"/>
      <c r="L29" s="390"/>
      <c r="M29" s="390"/>
      <c r="N29" s="390"/>
      <c r="O29" s="390"/>
      <c r="P29" s="390"/>
      <c r="Q29" s="390"/>
      <c r="R29" s="124"/>
      <c r="S29" s="150"/>
      <c r="T29" s="437">
        <v>0</v>
      </c>
      <c r="U29" s="437"/>
      <c r="V29" s="437"/>
      <c r="W29" s="437"/>
      <c r="X29" s="437"/>
      <c r="Y29" s="437"/>
      <c r="Z29" s="438"/>
      <c r="AA29" s="163" t="s">
        <v>153</v>
      </c>
      <c r="AB29" s="162" t="s">
        <v>154</v>
      </c>
      <c r="AC29" s="186" t="s">
        <v>155</v>
      </c>
      <c r="AD29" s="119" t="s">
        <v>146</v>
      </c>
      <c r="AE29" s="119"/>
      <c r="AF29" s="119"/>
      <c r="AG29" s="190"/>
      <c r="AH29" s="190"/>
      <c r="AI29" s="190"/>
      <c r="AJ29" s="190"/>
      <c r="AK29" s="190"/>
      <c r="AL29" s="190"/>
      <c r="AM29" s="190"/>
    </row>
    <row r="30" spans="1:39" ht="19" customHeight="1">
      <c r="A30" s="391" t="s">
        <v>156</v>
      </c>
      <c r="B30" s="390"/>
      <c r="C30" s="390"/>
      <c r="D30" s="390"/>
      <c r="E30" s="390"/>
      <c r="F30" s="390"/>
      <c r="G30" s="390"/>
      <c r="H30" s="390"/>
      <c r="I30" s="390"/>
      <c r="J30" s="390"/>
      <c r="K30" s="390"/>
      <c r="L30" s="390"/>
      <c r="M30" s="390"/>
      <c r="N30" s="390"/>
      <c r="O30" s="390"/>
      <c r="P30" s="390"/>
      <c r="Q30" s="390"/>
      <c r="R30" s="124"/>
      <c r="S30" s="150"/>
      <c r="T30" s="409" t="e">
        <f>D28+L28+T28+T29</f>
        <v>#VALUE!</v>
      </c>
      <c r="U30" s="409"/>
      <c r="V30" s="409"/>
      <c r="W30" s="409"/>
      <c r="X30" s="409"/>
      <c r="Y30" s="409"/>
      <c r="Z30" s="410"/>
      <c r="AA30" s="164"/>
      <c r="AB30" s="164"/>
      <c r="AC30" s="164"/>
      <c r="AD30" s="164"/>
      <c r="AE30" s="164"/>
      <c r="AF30" s="164"/>
      <c r="AG30" s="199"/>
      <c r="AH30" s="190"/>
      <c r="AI30" s="190"/>
      <c r="AJ30" s="190"/>
      <c r="AK30" s="190"/>
      <c r="AL30" s="190"/>
      <c r="AM30" s="190"/>
    </row>
    <row r="31" spans="1:39" ht="19" customHeight="1">
      <c r="A31" s="377" t="s">
        <v>157</v>
      </c>
      <c r="B31" s="423"/>
      <c r="C31" s="423"/>
      <c r="D31" s="423"/>
      <c r="E31" s="423"/>
      <c r="F31" s="423"/>
      <c r="G31" s="423"/>
      <c r="H31" s="423"/>
      <c r="I31" s="423"/>
      <c r="J31" s="423"/>
      <c r="K31" s="423"/>
      <c r="L31" s="423"/>
      <c r="M31" s="423"/>
      <c r="N31" s="423"/>
      <c r="O31" s="423"/>
      <c r="P31" s="423"/>
      <c r="Q31" s="423"/>
      <c r="R31" s="124"/>
      <c r="S31" s="150"/>
      <c r="T31" s="409" t="e">
        <f>T26-T30</f>
        <v>#VALUE!</v>
      </c>
      <c r="U31" s="409"/>
      <c r="V31" s="409"/>
      <c r="W31" s="409"/>
      <c r="X31" s="409"/>
      <c r="Y31" s="409"/>
      <c r="Z31" s="410"/>
      <c r="AA31" s="164"/>
      <c r="AB31" s="439" t="str">
        <f>IF(工作记录单!T5="卸货","通常船舶常数：","")</f>
        <v>通常船舶常数：</v>
      </c>
      <c r="AC31" s="439"/>
      <c r="AD31" s="205" t="s">
        <v>158</v>
      </c>
      <c r="AE31" s="206" t="s">
        <v>159</v>
      </c>
      <c r="AF31" s="164"/>
      <c r="AG31" s="199"/>
      <c r="AH31" s="190"/>
      <c r="AI31" s="190"/>
      <c r="AJ31" s="190"/>
      <c r="AK31" s="190"/>
      <c r="AL31" s="190"/>
      <c r="AM31" s="190"/>
    </row>
    <row r="32" spans="1:39" ht="19" customHeight="1">
      <c r="A32" s="391" t="s">
        <v>160</v>
      </c>
      <c r="B32" s="390"/>
      <c r="C32" s="390"/>
      <c r="D32" s="390"/>
      <c r="E32" s="390"/>
      <c r="F32" s="390"/>
      <c r="G32" s="390"/>
      <c r="H32" s="390"/>
      <c r="I32" s="390"/>
      <c r="J32" s="390"/>
      <c r="K32" s="390"/>
      <c r="L32" s="390"/>
      <c r="M32" s="390"/>
      <c r="N32" s="390"/>
      <c r="O32" s="390"/>
      <c r="P32" s="390"/>
      <c r="Q32" s="390"/>
      <c r="R32" s="124"/>
      <c r="S32" s="124"/>
      <c r="T32" s="440" t="s">
        <v>161</v>
      </c>
      <c r="U32" s="441"/>
      <c r="V32" s="441"/>
      <c r="W32" s="441"/>
      <c r="X32" s="441"/>
      <c r="Y32" s="441"/>
      <c r="Z32" s="442"/>
      <c r="AA32" s="164"/>
      <c r="AB32" s="439" t="str">
        <f>IF(工作记录单!T5="卸货","初次估算货量：","")</f>
        <v>初次估算货量：</v>
      </c>
      <c r="AC32" s="439"/>
      <c r="AD32" s="207" t="e">
        <f>IF(工作记录单!T5="卸货",T31-D34-AD31,"")</f>
        <v>#VALUE!</v>
      </c>
      <c r="AE32" s="164"/>
      <c r="AF32" s="164"/>
      <c r="AG32" s="199"/>
      <c r="AH32" s="190"/>
      <c r="AI32" s="190"/>
      <c r="AJ32" s="190"/>
      <c r="AK32" s="190"/>
      <c r="AL32" s="190"/>
      <c r="AM32" s="190"/>
    </row>
    <row r="33" spans="1:39" ht="13" customHeight="1">
      <c r="A33" s="122"/>
      <c r="B33" s="122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  <c r="AA33" s="164"/>
      <c r="AB33" s="439" t="str">
        <f>IF(工作记录单!T5="卸货","初次货物涨短：","")</f>
        <v>初次货物涨短：</v>
      </c>
      <c r="AC33" s="439"/>
      <c r="AD33" s="207" t="e">
        <f>IF(工作记录单!T5="卸货",AD32-工作记录单!U8,"")</f>
        <v>#VALUE!</v>
      </c>
      <c r="AE33" s="164"/>
      <c r="AF33" s="164"/>
      <c r="AG33" s="199"/>
      <c r="AH33" s="190"/>
      <c r="AI33" s="190"/>
      <c r="AJ33" s="190"/>
      <c r="AK33" s="190"/>
      <c r="AL33" s="190"/>
      <c r="AM33" s="190"/>
    </row>
    <row r="34" spans="1:39" ht="19" customHeight="1">
      <c r="A34" s="391" t="s">
        <v>162</v>
      </c>
      <c r="B34" s="390"/>
      <c r="C34" s="390"/>
      <c r="D34" s="443" t="s">
        <v>163</v>
      </c>
      <c r="E34" s="444"/>
      <c r="F34" s="444"/>
      <c r="G34" s="445"/>
      <c r="H34" s="391" t="s">
        <v>164</v>
      </c>
      <c r="I34" s="390"/>
      <c r="J34" s="390"/>
      <c r="K34" s="392"/>
      <c r="L34" s="446" t="str">
        <f>IF(工作记录单!T5="装货",T31-D34,"/")</f>
        <v>/</v>
      </c>
      <c r="M34" s="446"/>
      <c r="N34" s="446"/>
      <c r="O34" s="446"/>
      <c r="P34" s="143" t="s">
        <v>165</v>
      </c>
      <c r="Q34" s="367" t="s">
        <v>166</v>
      </c>
      <c r="R34" s="368"/>
      <c r="S34" s="368"/>
      <c r="T34" s="447">
        <f>IF(工作记录单!T5="卸货",工作记录单!U8,"/")</f>
        <v>0</v>
      </c>
      <c r="U34" s="448"/>
      <c r="V34" s="448"/>
      <c r="W34" s="448"/>
      <c r="X34" s="448"/>
      <c r="Y34" s="448"/>
      <c r="Z34" s="166" t="s">
        <v>165</v>
      </c>
      <c r="AA34" s="164"/>
      <c r="AB34" s="439" t="str">
        <f>IF(工作记录单!T5="卸货","涨短比例：","")</f>
        <v>涨短比例：</v>
      </c>
      <c r="AC34" s="439"/>
      <c r="AD34" s="208" t="e">
        <f>IF(工作记录单!T5="卸货",AD33/工作记录单!U8,"")</f>
        <v>#VALUE!</v>
      </c>
      <c r="AE34" s="164"/>
      <c r="AF34" s="164"/>
      <c r="AG34" s="199"/>
      <c r="AH34" s="190"/>
      <c r="AI34" s="190"/>
      <c r="AJ34" s="190"/>
      <c r="AK34" s="190"/>
      <c r="AL34" s="190"/>
      <c r="AM34" s="190"/>
    </row>
    <row r="35" spans="1:39">
      <c r="A35" s="122"/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64"/>
      <c r="AB35" s="164"/>
      <c r="AC35" s="164"/>
      <c r="AD35" s="164"/>
      <c r="AE35" s="164"/>
      <c r="AF35" s="164"/>
      <c r="AG35" s="199"/>
      <c r="AH35" s="190"/>
      <c r="AI35" s="190"/>
      <c r="AJ35" s="190"/>
      <c r="AK35" s="190"/>
      <c r="AL35" s="190"/>
      <c r="AM35" s="190"/>
    </row>
    <row r="36" spans="1:39">
      <c r="A36" s="449" t="s">
        <v>167</v>
      </c>
      <c r="B36" s="449"/>
      <c r="C36" s="449"/>
      <c r="D36" s="126"/>
      <c r="E36" s="450" t="s">
        <v>168</v>
      </c>
      <c r="F36" s="450"/>
      <c r="G36" s="450"/>
      <c r="H36" s="450"/>
      <c r="I36" s="450"/>
      <c r="J36" s="450"/>
      <c r="K36" s="450"/>
      <c r="L36" s="450"/>
      <c r="M36" s="450"/>
      <c r="N36" s="450"/>
      <c r="O36" s="450"/>
      <c r="P36" s="450"/>
      <c r="Q36" s="450"/>
      <c r="R36" s="450"/>
      <c r="S36" s="450"/>
      <c r="T36" s="450"/>
      <c r="U36" s="450"/>
      <c r="V36" s="450"/>
      <c r="W36" s="450"/>
      <c r="X36" s="450"/>
      <c r="Y36" s="450"/>
      <c r="Z36" s="450"/>
      <c r="AA36" s="164"/>
      <c r="AB36" s="164"/>
      <c r="AC36" s="164"/>
      <c r="AD36" s="164"/>
      <c r="AE36" s="164"/>
      <c r="AF36" s="164"/>
      <c r="AG36" s="199"/>
      <c r="AH36" s="190"/>
      <c r="AI36" s="190"/>
      <c r="AJ36" s="190"/>
      <c r="AK36" s="190"/>
      <c r="AL36" s="190"/>
      <c r="AM36" s="190"/>
    </row>
    <row r="37" spans="1:39" ht="18">
      <c r="A37" s="127"/>
      <c r="B37" s="127"/>
      <c r="C37" s="127"/>
      <c r="D37" s="127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64"/>
      <c r="AB37" s="164"/>
      <c r="AC37" s="188"/>
      <c r="AD37" s="164"/>
      <c r="AE37" s="164"/>
      <c r="AF37" s="164"/>
      <c r="AG37" s="199"/>
      <c r="AH37" s="190"/>
      <c r="AI37" s="190"/>
      <c r="AJ37" s="190"/>
      <c r="AK37" s="190"/>
      <c r="AL37" s="190"/>
      <c r="AM37" s="190"/>
    </row>
    <row r="38" spans="1:39" ht="18">
      <c r="A38" s="128" t="s">
        <v>169</v>
      </c>
      <c r="B38" s="129"/>
      <c r="C38" s="129"/>
      <c r="D38" s="129"/>
      <c r="E38" s="136"/>
      <c r="F38" s="137"/>
      <c r="G38" s="137"/>
      <c r="H38" s="136"/>
      <c r="I38" s="136"/>
      <c r="J38" s="136"/>
      <c r="K38" s="136"/>
      <c r="L38" s="136"/>
      <c r="M38" s="136"/>
      <c r="N38" s="136"/>
      <c r="O38" s="136"/>
      <c r="P38" s="136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64"/>
      <c r="AB38" s="164"/>
      <c r="AC38" s="164"/>
      <c r="AD38" s="164"/>
      <c r="AE38" s="164"/>
      <c r="AF38" s="164"/>
      <c r="AG38" s="199"/>
      <c r="AH38" s="190"/>
      <c r="AI38" s="190"/>
      <c r="AJ38" s="190"/>
      <c r="AK38" s="190"/>
      <c r="AL38" s="190"/>
      <c r="AM38" s="190"/>
    </row>
    <row r="39" spans="1:39">
      <c r="A39" s="451"/>
      <c r="B39" s="451"/>
      <c r="C39" s="451"/>
      <c r="D39" s="451"/>
      <c r="E39" s="451"/>
      <c r="F39" s="451"/>
      <c r="G39" s="451"/>
      <c r="H39" s="451"/>
      <c r="I39" s="451"/>
      <c r="J39" s="451"/>
      <c r="K39" s="451"/>
      <c r="L39" s="451"/>
      <c r="M39" s="451"/>
      <c r="N39" s="451"/>
      <c r="O39" s="451"/>
      <c r="P39" s="451"/>
      <c r="Q39" s="451"/>
      <c r="R39" s="451"/>
      <c r="S39" s="451"/>
      <c r="T39" s="451"/>
      <c r="U39" s="451"/>
      <c r="V39" s="451"/>
      <c r="W39" s="451"/>
      <c r="X39" s="451"/>
      <c r="Y39" s="451"/>
      <c r="Z39" s="451"/>
    </row>
    <row r="42" spans="1:39">
      <c r="D42" s="118" t="s">
        <v>170</v>
      </c>
    </row>
  </sheetData>
  <protectedRanges>
    <protectedRange sqref="B6 N6 H6 T6 E9:F11 G14:I14 E14:E17 R34 Q21 R20 T21 D25 I25 R29 D34 I34 G21:H21 L9:L11 I9:I11" name="区域1" securityDescriptor=""/>
  </protectedRanges>
  <mergeCells count="121">
    <mergeCell ref="A39:Z39"/>
    <mergeCell ref="H6:K7"/>
    <mergeCell ref="B6:F7"/>
    <mergeCell ref="N6:Q7"/>
    <mergeCell ref="L13:O14"/>
    <mergeCell ref="T6:Z7"/>
    <mergeCell ref="AB33:AC33"/>
    <mergeCell ref="A34:C34"/>
    <mergeCell ref="D34:G34"/>
    <mergeCell ref="H34:K34"/>
    <mergeCell ref="L34:O34"/>
    <mergeCell ref="Q34:S34"/>
    <mergeCell ref="T34:Y34"/>
    <mergeCell ref="AB34:AC34"/>
    <mergeCell ref="A36:C36"/>
    <mergeCell ref="E36:Z36"/>
    <mergeCell ref="A29:Q29"/>
    <mergeCell ref="T29:Z29"/>
    <mergeCell ref="A30:Q30"/>
    <mergeCell ref="T30:Z30"/>
    <mergeCell ref="A31:Q31"/>
    <mergeCell ref="T31:Z31"/>
    <mergeCell ref="AB31:AC31"/>
    <mergeCell ref="A32:Q32"/>
    <mergeCell ref="T32:Z32"/>
    <mergeCell ref="AB32:AC32"/>
    <mergeCell ref="A25:C25"/>
    <mergeCell ref="D25:F25"/>
    <mergeCell ref="G25:K25"/>
    <mergeCell ref="L25:O25"/>
    <mergeCell ref="P25:S25"/>
    <mergeCell ref="T25:Z25"/>
    <mergeCell ref="A26:Q26"/>
    <mergeCell ref="T26:Z26"/>
    <mergeCell ref="A28:C28"/>
    <mergeCell ref="D28:G28"/>
    <mergeCell ref="H28:K28"/>
    <mergeCell ref="L28:P28"/>
    <mergeCell ref="Q28:S28"/>
    <mergeCell ref="T28:Z28"/>
    <mergeCell ref="A22:K22"/>
    <mergeCell ref="L22:S22"/>
    <mergeCell ref="T22:Z22"/>
    <mergeCell ref="AB22:AE22"/>
    <mergeCell ref="A23:K23"/>
    <mergeCell ref="L23:S23"/>
    <mergeCell ref="T23:Z23"/>
    <mergeCell ref="A24:Q24"/>
    <mergeCell ref="T24:Z24"/>
    <mergeCell ref="A18:B18"/>
    <mergeCell ref="C18:F18"/>
    <mergeCell ref="G18:K18"/>
    <mergeCell ref="L18:Z18"/>
    <mergeCell ref="AH18:AI18"/>
    <mergeCell ref="AH19:AI19"/>
    <mergeCell ref="T20:Z20"/>
    <mergeCell ref="B21:D21"/>
    <mergeCell ref="E21:F21"/>
    <mergeCell ref="I21:L21"/>
    <mergeCell ref="M21:N21"/>
    <mergeCell ref="O21:P21"/>
    <mergeCell ref="Q21:S21"/>
    <mergeCell ref="T21:Z21"/>
    <mergeCell ref="A16:B16"/>
    <mergeCell ref="C16:F16"/>
    <mergeCell ref="G16:K16"/>
    <mergeCell ref="L16:O16"/>
    <mergeCell ref="P16:R16"/>
    <mergeCell ref="S16:Z16"/>
    <mergeCell ref="AH16:AI16"/>
    <mergeCell ref="A17:B17"/>
    <mergeCell ref="C17:F17"/>
    <mergeCell ref="G17:K17"/>
    <mergeCell ref="L17:O17"/>
    <mergeCell ref="P17:R17"/>
    <mergeCell ref="S17:Z17"/>
    <mergeCell ref="AH17:AI17"/>
    <mergeCell ref="A14:B14"/>
    <mergeCell ref="C14:F14"/>
    <mergeCell ref="H14:K14"/>
    <mergeCell ref="P14:Z14"/>
    <mergeCell ref="AH14:AI14"/>
    <mergeCell ref="AJ14:AK14"/>
    <mergeCell ref="A15:B15"/>
    <mergeCell ref="C15:F15"/>
    <mergeCell ref="G15:K15"/>
    <mergeCell ref="L15:O15"/>
    <mergeCell ref="P15:R15"/>
    <mergeCell ref="S15:Z15"/>
    <mergeCell ref="AD15:AE15"/>
    <mergeCell ref="AH15:AI15"/>
    <mergeCell ref="A11:C11"/>
    <mergeCell ref="D11:G11"/>
    <mergeCell ref="H11:K11"/>
    <mergeCell ref="L11:O11"/>
    <mergeCell ref="P11:R11"/>
    <mergeCell ref="S11:Z11"/>
    <mergeCell ref="A13:B13"/>
    <mergeCell ref="C13:K13"/>
    <mergeCell ref="P13:Z13"/>
    <mergeCell ref="A9:C9"/>
    <mergeCell ref="D9:G9"/>
    <mergeCell ref="H9:K9"/>
    <mergeCell ref="L9:O9"/>
    <mergeCell ref="P9:R9"/>
    <mergeCell ref="S9:Z9"/>
    <mergeCell ref="A10:C10"/>
    <mergeCell ref="D10:G10"/>
    <mergeCell ref="H10:K10"/>
    <mergeCell ref="L10:O10"/>
    <mergeCell ref="P10:R10"/>
    <mergeCell ref="S10:Z10"/>
    <mergeCell ref="B1:L1"/>
    <mergeCell ref="Q1:Z1"/>
    <mergeCell ref="B2:M2"/>
    <mergeCell ref="A3:Q3"/>
    <mergeCell ref="R3:S3"/>
    <mergeCell ref="T3:Z3"/>
    <mergeCell ref="A4:Z4"/>
    <mergeCell ref="L6:M6"/>
    <mergeCell ref="R6:S6"/>
  </mergeCells>
  <phoneticPr fontId="28" type="noConversion"/>
  <pageMargins left="0.55000000000000004" right="0.55000000000000004" top="0.78680555555555598" bottom="0.39305555555555599" header="0.39305555555555599" footer="0.39305555555555599"/>
  <pageSetup paperSize="9" orientation="portrait" blackAndWhite="1"/>
  <headerFooter alignWithMargins="0">
    <oddFooter>&amp;L&amp;"仿宋_GB2312,常规"&amp;9实施日期：2019年8月20日&amp;R&amp;"仿宋_GB2312,常规"&amp;9第1 页 共 1 页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39"/>
  <sheetViews>
    <sheetView zoomScale="127" zoomScaleNormal="127" workbookViewId="0">
      <selection activeCell="AC30" sqref="AC30"/>
    </sheetView>
  </sheetViews>
  <sheetFormatPr baseColWidth="10" defaultColWidth="9" defaultRowHeight="15"/>
  <cols>
    <col min="1" max="1" width="6" style="118" customWidth="1"/>
    <col min="2" max="2" width="2.33203125" style="118" customWidth="1"/>
    <col min="3" max="3" width="3.1640625" style="118" customWidth="1"/>
    <col min="4" max="4" width="2.83203125" style="118" customWidth="1"/>
    <col min="5" max="5" width="4" style="118" customWidth="1"/>
    <col min="6" max="6" width="2" style="118" customWidth="1"/>
    <col min="7" max="7" width="7" style="118" customWidth="1"/>
    <col min="8" max="8" width="7.1640625" style="118" customWidth="1"/>
    <col min="9" max="9" width="1.5" style="118" customWidth="1"/>
    <col min="10" max="10" width="1.6640625" style="118" customWidth="1"/>
    <col min="11" max="11" width="2.1640625" style="118" customWidth="1"/>
    <col min="12" max="12" width="1.6640625" style="118" customWidth="1"/>
    <col min="13" max="13" width="3.83203125" style="118" customWidth="1"/>
    <col min="14" max="14" width="2.6640625" style="118" customWidth="1"/>
    <col min="15" max="15" width="3.83203125" style="118" customWidth="1"/>
    <col min="16" max="16" width="2.6640625" style="118" customWidth="1"/>
    <col min="17" max="17" width="7" style="118" customWidth="1"/>
    <col min="18" max="18" width="3.33203125" style="118" customWidth="1"/>
    <col min="19" max="22" width="1.83203125" style="118" customWidth="1"/>
    <col min="23" max="23" width="0.6640625" style="118" customWidth="1"/>
    <col min="24" max="25" width="1.83203125" style="118" customWidth="1"/>
    <col min="26" max="26" width="7.6640625" style="118" customWidth="1"/>
    <col min="27" max="28" width="9" style="118"/>
    <col min="29" max="29" width="9.5" style="118" customWidth="1"/>
    <col min="30" max="30" width="9.33203125" style="118" customWidth="1"/>
    <col min="31" max="32" width="9" style="118"/>
    <col min="33" max="33" width="4" style="118" customWidth="1"/>
    <col min="34" max="34" width="15.33203125" style="118" customWidth="1"/>
    <col min="35" max="35" width="4.83203125" style="118" customWidth="1"/>
    <col min="36" max="36" width="13.6640625" style="118" customWidth="1"/>
    <col min="37" max="37" width="9.83203125" style="118" customWidth="1"/>
    <col min="38" max="38" width="8" style="118" customWidth="1"/>
    <col min="39" max="16384" width="9" style="118"/>
  </cols>
  <sheetData>
    <row r="1" spans="1:39" ht="16.5" customHeight="1">
      <c r="A1" s="119"/>
      <c r="B1" s="357" t="s">
        <v>48</v>
      </c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138"/>
      <c r="N1" s="139"/>
      <c r="O1" s="139"/>
      <c r="P1" s="139"/>
      <c r="Q1" s="358" t="s">
        <v>49</v>
      </c>
      <c r="R1" s="358"/>
      <c r="S1" s="358"/>
      <c r="T1" s="358"/>
      <c r="U1" s="358"/>
      <c r="V1" s="358"/>
      <c r="W1" s="358"/>
      <c r="X1" s="358"/>
      <c r="Y1" s="358"/>
      <c r="Z1" s="358"/>
      <c r="AA1" s="119"/>
      <c r="AB1" s="119"/>
      <c r="AC1" s="119"/>
      <c r="AD1" s="119"/>
      <c r="AE1" s="119"/>
      <c r="AF1" s="119"/>
      <c r="AG1" s="190"/>
      <c r="AH1" s="190"/>
      <c r="AI1" s="190"/>
      <c r="AJ1" s="190"/>
      <c r="AK1" s="190"/>
      <c r="AL1" s="190"/>
      <c r="AM1" s="190"/>
    </row>
    <row r="2" spans="1:39" ht="12" customHeight="1">
      <c r="A2" s="119"/>
      <c r="B2" s="359" t="s">
        <v>2</v>
      </c>
      <c r="C2" s="359"/>
      <c r="D2" s="359"/>
      <c r="E2" s="359"/>
      <c r="F2" s="359"/>
      <c r="G2" s="359"/>
      <c r="H2" s="359"/>
      <c r="I2" s="359"/>
      <c r="J2" s="359"/>
      <c r="K2" s="359"/>
      <c r="L2" s="359"/>
      <c r="M2" s="359"/>
      <c r="N2" s="140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19"/>
      <c r="AA2" s="119"/>
      <c r="AB2" s="119"/>
      <c r="AC2" s="119"/>
      <c r="AD2" s="119"/>
      <c r="AE2" s="119"/>
      <c r="AF2" s="119"/>
      <c r="AG2" s="190"/>
      <c r="AH2" s="190"/>
      <c r="AI2" s="190"/>
      <c r="AJ2" s="190"/>
      <c r="AK2" s="190"/>
      <c r="AL2" s="190"/>
      <c r="AM2" s="190"/>
    </row>
    <row r="3" spans="1:39" ht="15" customHeight="1">
      <c r="A3" s="360"/>
      <c r="B3" s="360"/>
      <c r="C3" s="360"/>
      <c r="D3" s="360"/>
      <c r="E3" s="360"/>
      <c r="F3" s="360"/>
      <c r="G3" s="360"/>
      <c r="H3" s="360"/>
      <c r="I3" s="360"/>
      <c r="J3" s="360"/>
      <c r="K3" s="360"/>
      <c r="L3" s="360"/>
      <c r="M3" s="360"/>
      <c r="N3" s="360"/>
      <c r="O3" s="360"/>
      <c r="P3" s="360"/>
      <c r="Q3" s="360"/>
      <c r="R3" s="361" t="s">
        <v>5</v>
      </c>
      <c r="S3" s="361"/>
      <c r="T3" s="362" t="str">
        <f>水尺计算初次!T3</f>
        <v>32110202104000114</v>
      </c>
      <c r="U3" s="362"/>
      <c r="V3" s="362"/>
      <c r="W3" s="362"/>
      <c r="X3" s="362"/>
      <c r="Y3" s="362"/>
      <c r="Z3" s="363"/>
      <c r="AA3" s="119"/>
      <c r="AB3" s="119"/>
      <c r="AC3" s="119"/>
      <c r="AD3" s="119"/>
      <c r="AE3" s="119"/>
      <c r="AF3" s="119"/>
      <c r="AG3" s="190"/>
      <c r="AH3" s="190"/>
      <c r="AI3" s="190"/>
      <c r="AJ3" s="190"/>
      <c r="AK3" s="190"/>
      <c r="AL3" s="190"/>
      <c r="AM3" s="190"/>
    </row>
    <row r="4" spans="1:39" ht="37" customHeight="1">
      <c r="A4" s="364" t="s">
        <v>50</v>
      </c>
      <c r="B4" s="364"/>
      <c r="C4" s="364"/>
      <c r="D4" s="364"/>
      <c r="E4" s="364"/>
      <c r="F4" s="364"/>
      <c r="G4" s="364"/>
      <c r="H4" s="364"/>
      <c r="I4" s="364"/>
      <c r="J4" s="364"/>
      <c r="K4" s="364"/>
      <c r="L4" s="364"/>
      <c r="M4" s="364"/>
      <c r="N4" s="364"/>
      <c r="O4" s="364"/>
      <c r="P4" s="364"/>
      <c r="Q4" s="364"/>
      <c r="R4" s="364"/>
      <c r="S4" s="364"/>
      <c r="T4" s="364"/>
      <c r="U4" s="364"/>
      <c r="V4" s="364"/>
      <c r="W4" s="364"/>
      <c r="X4" s="364"/>
      <c r="Y4" s="364"/>
      <c r="Z4" s="364"/>
      <c r="AA4" s="119"/>
      <c r="AB4" s="119"/>
      <c r="AC4" s="119"/>
      <c r="AD4" s="119"/>
      <c r="AE4" s="119"/>
      <c r="AF4" s="119"/>
      <c r="AG4" s="103" t="s">
        <v>51</v>
      </c>
      <c r="AH4" s="190"/>
      <c r="AI4" s="190"/>
      <c r="AJ4" s="190"/>
      <c r="AK4" s="190"/>
      <c r="AL4" s="190"/>
      <c r="AM4" s="190"/>
    </row>
    <row r="5" spans="1:39" ht="17">
      <c r="A5" s="119"/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44"/>
      <c r="R5" s="145"/>
      <c r="S5" s="146" t="str">
        <f>IF(工作记录单!T5="装货","装","")</f>
        <v/>
      </c>
      <c r="T5" s="147" t="str">
        <f>IF(工作记录单!T5="装货","卸","装")</f>
        <v>装</v>
      </c>
      <c r="U5" s="146" t="str">
        <f>IF(工作记录单!T5="装货","载","卸")</f>
        <v>卸</v>
      </c>
      <c r="V5" s="146" t="str">
        <f>IF(工作记录单!T5="装货","/","载")</f>
        <v>载</v>
      </c>
      <c r="W5" s="146" t="str">
        <f>IF(工作记录单!T5="装货","","/")</f>
        <v>/</v>
      </c>
      <c r="X5" s="147" t="s">
        <v>52</v>
      </c>
      <c r="Y5" s="146" t="s">
        <v>53</v>
      </c>
      <c r="Z5" s="151"/>
      <c r="AA5" s="119"/>
      <c r="AB5" s="119" t="s">
        <v>54</v>
      </c>
      <c r="AC5" s="119"/>
      <c r="AD5" s="119"/>
      <c r="AE5" s="119"/>
      <c r="AF5" s="119"/>
      <c r="AG5" s="190"/>
      <c r="AH5" s="190"/>
      <c r="AI5" s="190"/>
      <c r="AJ5" s="190"/>
      <c r="AK5" s="190"/>
      <c r="AL5" s="190"/>
      <c r="AM5" s="190"/>
    </row>
    <row r="6" spans="1:39" ht="15.75" customHeight="1">
      <c r="A6" s="120" t="s">
        <v>55</v>
      </c>
      <c r="B6" s="452" t="str">
        <f>工作记录单!C7</f>
        <v>MOUNT BOLIVAR</v>
      </c>
      <c r="C6" s="452"/>
      <c r="D6" s="452"/>
      <c r="E6" s="452"/>
      <c r="F6" s="454"/>
      <c r="G6" s="130" t="s">
        <v>56</v>
      </c>
      <c r="H6" s="452" t="str">
        <f>工作记录单!U7</f>
        <v>董家口</v>
      </c>
      <c r="I6" s="452"/>
      <c r="J6" s="452"/>
      <c r="K6" s="452"/>
      <c r="L6" s="365" t="s">
        <v>57</v>
      </c>
      <c r="M6" s="366"/>
      <c r="N6" s="452" t="str">
        <f>工作记录单!F7</f>
        <v>铁矿</v>
      </c>
      <c r="O6" s="452"/>
      <c r="P6" s="452"/>
      <c r="Q6" s="454"/>
      <c r="R6" s="365" t="s">
        <v>58</v>
      </c>
      <c r="S6" s="366"/>
      <c r="T6" s="459">
        <f>工作记录单!L12</f>
        <v>44339</v>
      </c>
      <c r="U6" s="459"/>
      <c r="V6" s="459"/>
      <c r="W6" s="459"/>
      <c r="X6" s="459"/>
      <c r="Y6" s="459"/>
      <c r="Z6" s="460"/>
      <c r="AA6" s="119"/>
      <c r="AB6" s="152" t="s">
        <v>59</v>
      </c>
      <c r="AC6" s="167"/>
      <c r="AD6" s="119"/>
      <c r="AE6" s="119"/>
      <c r="AF6" s="119"/>
      <c r="AG6" s="190"/>
      <c r="AH6" s="190"/>
      <c r="AI6" s="190"/>
      <c r="AJ6" s="190"/>
      <c r="AK6" s="190"/>
      <c r="AL6" s="190"/>
      <c r="AM6" s="190"/>
    </row>
    <row r="7" spans="1:39" ht="15" customHeight="1">
      <c r="A7" s="121"/>
      <c r="B7" s="453"/>
      <c r="C7" s="453"/>
      <c r="D7" s="453"/>
      <c r="E7" s="453"/>
      <c r="F7" s="455"/>
      <c r="G7" s="131"/>
      <c r="H7" s="453"/>
      <c r="I7" s="453"/>
      <c r="J7" s="453"/>
      <c r="K7" s="453"/>
      <c r="L7" s="121"/>
      <c r="M7" s="142"/>
      <c r="N7" s="453"/>
      <c r="O7" s="453"/>
      <c r="P7" s="453"/>
      <c r="Q7" s="455"/>
      <c r="R7" s="121"/>
      <c r="S7" s="142"/>
      <c r="T7" s="461"/>
      <c r="U7" s="461"/>
      <c r="V7" s="461"/>
      <c r="W7" s="461"/>
      <c r="X7" s="461"/>
      <c r="Y7" s="461"/>
      <c r="Z7" s="462"/>
      <c r="AA7" s="119"/>
      <c r="AB7" s="153" t="s">
        <v>60</v>
      </c>
      <c r="AC7" s="167"/>
      <c r="AD7" s="119"/>
      <c r="AE7" s="119"/>
      <c r="AF7" s="119"/>
      <c r="AG7" s="190"/>
      <c r="AH7" s="190"/>
      <c r="AI7" s="190"/>
      <c r="AJ7" s="190"/>
      <c r="AK7" s="190"/>
      <c r="AL7" s="190"/>
      <c r="AM7" s="190"/>
    </row>
    <row r="8" spans="1:39" ht="13" customHeight="1">
      <c r="A8" s="122"/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19"/>
      <c r="AB8" s="152" t="s">
        <v>61</v>
      </c>
      <c r="AC8" s="167"/>
      <c r="AD8" s="119"/>
      <c r="AE8" s="119"/>
      <c r="AF8" s="119"/>
      <c r="AG8" s="190"/>
      <c r="AH8" s="190"/>
      <c r="AI8" s="190"/>
      <c r="AJ8" s="190"/>
      <c r="AK8" s="190"/>
      <c r="AL8" s="190"/>
      <c r="AM8" s="190"/>
    </row>
    <row r="9" spans="1:39" ht="19" customHeight="1">
      <c r="A9" s="367" t="s">
        <v>62</v>
      </c>
      <c r="B9" s="368"/>
      <c r="C9" s="369"/>
      <c r="D9" s="370"/>
      <c r="E9" s="370"/>
      <c r="F9" s="370"/>
      <c r="G9" s="371"/>
      <c r="H9" s="367" t="s">
        <v>64</v>
      </c>
      <c r="I9" s="368"/>
      <c r="J9" s="368"/>
      <c r="K9" s="368"/>
      <c r="L9" s="372"/>
      <c r="M9" s="372"/>
      <c r="N9" s="372"/>
      <c r="O9" s="373"/>
      <c r="P9" s="367" t="s">
        <v>66</v>
      </c>
      <c r="Q9" s="368"/>
      <c r="R9" s="369"/>
      <c r="S9" s="374">
        <f t="shared" ref="S9:S11" si="0">(D9+L9)/2</f>
        <v>0</v>
      </c>
      <c r="T9" s="375"/>
      <c r="U9" s="375"/>
      <c r="V9" s="375"/>
      <c r="W9" s="375"/>
      <c r="X9" s="375"/>
      <c r="Y9" s="375"/>
      <c r="Z9" s="376"/>
      <c r="AA9" s="119"/>
      <c r="AB9" s="119"/>
      <c r="AC9" s="119"/>
      <c r="AD9" s="119"/>
      <c r="AE9" s="119"/>
      <c r="AF9" s="119"/>
      <c r="AG9" s="190"/>
      <c r="AH9" s="190"/>
      <c r="AI9" s="190"/>
      <c r="AJ9" s="190"/>
      <c r="AK9" s="190"/>
      <c r="AL9" s="190"/>
      <c r="AM9" s="190"/>
    </row>
    <row r="10" spans="1:39" ht="19" customHeight="1">
      <c r="A10" s="367" t="s">
        <v>67</v>
      </c>
      <c r="B10" s="368"/>
      <c r="C10" s="369"/>
      <c r="D10" s="370"/>
      <c r="E10" s="370"/>
      <c r="F10" s="370"/>
      <c r="G10" s="371"/>
      <c r="H10" s="367" t="s">
        <v>69</v>
      </c>
      <c r="I10" s="368"/>
      <c r="J10" s="368"/>
      <c r="K10" s="368"/>
      <c r="L10" s="372"/>
      <c r="M10" s="372"/>
      <c r="N10" s="372"/>
      <c r="O10" s="373"/>
      <c r="P10" s="367" t="s">
        <v>71</v>
      </c>
      <c r="Q10" s="368"/>
      <c r="R10" s="369"/>
      <c r="S10" s="374">
        <f t="shared" si="0"/>
        <v>0</v>
      </c>
      <c r="T10" s="375"/>
      <c r="U10" s="375"/>
      <c r="V10" s="375"/>
      <c r="W10" s="375"/>
      <c r="X10" s="375"/>
      <c r="Y10" s="375"/>
      <c r="Z10" s="376"/>
      <c r="AA10" s="119"/>
      <c r="AB10" s="119"/>
      <c r="AC10" s="119"/>
      <c r="AD10" s="119"/>
      <c r="AE10" s="119"/>
      <c r="AF10" s="119"/>
      <c r="AG10" s="190"/>
      <c r="AH10" s="190"/>
      <c r="AI10" s="190"/>
      <c r="AJ10" s="190"/>
      <c r="AK10" s="190"/>
      <c r="AL10" s="190"/>
      <c r="AM10" s="190"/>
    </row>
    <row r="11" spans="1:39" ht="19" customHeight="1">
      <c r="A11" s="367" t="s">
        <v>72</v>
      </c>
      <c r="B11" s="368"/>
      <c r="C11" s="369"/>
      <c r="D11" s="370"/>
      <c r="E11" s="370"/>
      <c r="F11" s="370"/>
      <c r="G11" s="371"/>
      <c r="H11" s="367" t="s">
        <v>74</v>
      </c>
      <c r="I11" s="368"/>
      <c r="J11" s="368"/>
      <c r="K11" s="368"/>
      <c r="L11" s="372"/>
      <c r="M11" s="372"/>
      <c r="N11" s="372"/>
      <c r="O11" s="373"/>
      <c r="P11" s="367" t="s">
        <v>76</v>
      </c>
      <c r="Q11" s="368"/>
      <c r="R11" s="369"/>
      <c r="S11" s="374">
        <f t="shared" si="0"/>
        <v>0</v>
      </c>
      <c r="T11" s="375"/>
      <c r="U11" s="375"/>
      <c r="V11" s="375"/>
      <c r="W11" s="375"/>
      <c r="X11" s="375"/>
      <c r="Y11" s="375"/>
      <c r="Z11" s="376"/>
      <c r="AA11" s="119"/>
      <c r="AB11" s="119"/>
      <c r="AC11" s="119"/>
      <c r="AD11" s="119"/>
      <c r="AE11" s="119"/>
      <c r="AF11" s="119"/>
      <c r="AG11" s="190"/>
      <c r="AH11" s="190"/>
      <c r="AI11" s="190"/>
      <c r="AJ11" s="190"/>
      <c r="AK11" s="190"/>
      <c r="AL11" s="190"/>
      <c r="AM11" s="190"/>
    </row>
    <row r="12" spans="1:39" ht="13" customHeight="1">
      <c r="A12" s="122"/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19"/>
      <c r="AB12" s="154" t="s">
        <v>77</v>
      </c>
      <c r="AC12" s="168" t="s">
        <v>78</v>
      </c>
      <c r="AD12" s="168" t="s">
        <v>79</v>
      </c>
      <c r="AE12" s="169" t="s">
        <v>80</v>
      </c>
      <c r="AF12" s="119"/>
      <c r="AG12" s="190"/>
      <c r="AH12" s="190"/>
      <c r="AM12" s="190"/>
    </row>
    <row r="13" spans="1:39" ht="19" customHeight="1">
      <c r="A13" s="377" t="s">
        <v>81</v>
      </c>
      <c r="B13" s="378"/>
      <c r="C13" s="375">
        <f>S11-S9</f>
        <v>0</v>
      </c>
      <c r="D13" s="375"/>
      <c r="E13" s="375"/>
      <c r="F13" s="375"/>
      <c r="G13" s="375"/>
      <c r="H13" s="375"/>
      <c r="I13" s="375"/>
      <c r="J13" s="375"/>
      <c r="K13" s="375"/>
      <c r="L13" s="456" t="s">
        <v>82</v>
      </c>
      <c r="M13" s="379"/>
      <c r="N13" s="379"/>
      <c r="O13" s="379"/>
      <c r="P13" s="379" t="s">
        <v>83</v>
      </c>
      <c r="Q13" s="379"/>
      <c r="R13" s="379"/>
      <c r="S13" s="379"/>
      <c r="T13" s="379"/>
      <c r="U13" s="379"/>
      <c r="V13" s="379"/>
      <c r="W13" s="379"/>
      <c r="X13" s="379"/>
      <c r="Y13" s="379"/>
      <c r="Z13" s="380"/>
      <c r="AA13" s="119"/>
      <c r="AB13" s="155"/>
      <c r="AC13" s="170" t="e">
        <f>C14/1200</f>
        <v>#VALUE!</v>
      </c>
      <c r="AD13" s="170" t="e">
        <f>C14/800</f>
        <v>#VALUE!</v>
      </c>
      <c r="AE13" s="171" t="e">
        <f>C14/600</f>
        <v>#VALUE!</v>
      </c>
      <c r="AF13" s="119"/>
      <c r="AG13" s="190"/>
      <c r="AH13" s="190"/>
      <c r="AM13" s="190"/>
    </row>
    <row r="14" spans="1:39" ht="19" customHeight="1">
      <c r="A14" s="377" t="s">
        <v>84</v>
      </c>
      <c r="B14" s="378"/>
      <c r="C14" s="463" t="str">
        <f>水尺计算初次!C14</f>
        <v>D5</v>
      </c>
      <c r="D14" s="463"/>
      <c r="E14" s="463"/>
      <c r="F14" s="464"/>
      <c r="G14" s="132" t="s">
        <v>86</v>
      </c>
      <c r="H14" s="465" t="str">
        <f>水尺计算初次!H14</f>
        <v>\</v>
      </c>
      <c r="I14" s="465"/>
      <c r="J14" s="465"/>
      <c r="K14" s="465"/>
      <c r="L14" s="457"/>
      <c r="M14" s="458"/>
      <c r="N14" s="458"/>
      <c r="O14" s="458"/>
      <c r="P14" s="384" t="s">
        <v>88</v>
      </c>
      <c r="Q14" s="384"/>
      <c r="R14" s="384"/>
      <c r="S14" s="384"/>
      <c r="T14" s="384"/>
      <c r="U14" s="384"/>
      <c r="V14" s="384"/>
      <c r="W14" s="384"/>
      <c r="X14" s="384"/>
      <c r="Y14" s="384"/>
      <c r="Z14" s="385"/>
      <c r="AA14" s="119"/>
      <c r="AB14" s="156"/>
      <c r="AC14" s="172"/>
      <c r="AD14" s="172"/>
      <c r="AE14" s="173"/>
      <c r="AF14" s="119"/>
      <c r="AG14" s="190"/>
      <c r="AH14" s="386"/>
      <c r="AI14" s="387"/>
      <c r="AJ14" s="386" t="s">
        <v>89</v>
      </c>
      <c r="AK14" s="387"/>
      <c r="AM14" s="190"/>
    </row>
    <row r="15" spans="1:39" ht="19" customHeight="1">
      <c r="A15" s="377" t="s">
        <v>90</v>
      </c>
      <c r="B15" s="378"/>
      <c r="C15" s="388"/>
      <c r="D15" s="388"/>
      <c r="E15" s="388"/>
      <c r="F15" s="389"/>
      <c r="G15" s="390" t="s">
        <v>92</v>
      </c>
      <c r="H15" s="390"/>
      <c r="I15" s="390"/>
      <c r="J15" s="390"/>
      <c r="K15" s="390"/>
      <c r="L15" s="374" t="e">
        <f>IF(AND(INT(AJ15*10^(3+1))-10*INT(AJ15*10^(3))=5,MOD(INT(AJ15*10^3)-10*INT(AJ15*10^(3-1)),2)=0,INT(AJ15*10^(3+1))-AJ15*10^(3+1)=0),TRUNC(AJ15,3),ROUND(AJ15,3))</f>
        <v>#VALUE!</v>
      </c>
      <c r="M15" s="375"/>
      <c r="N15" s="375"/>
      <c r="O15" s="375"/>
      <c r="P15" s="391" t="s">
        <v>93</v>
      </c>
      <c r="Q15" s="390"/>
      <c r="R15" s="392"/>
      <c r="S15" s="375" t="e">
        <f t="shared" ref="S15:S17" si="1">S9+L15</f>
        <v>#VALUE!</v>
      </c>
      <c r="T15" s="375"/>
      <c r="U15" s="375"/>
      <c r="V15" s="375"/>
      <c r="W15" s="375"/>
      <c r="X15" s="375"/>
      <c r="Y15" s="375"/>
      <c r="Z15" s="376"/>
      <c r="AA15" s="119"/>
      <c r="AB15" s="157" t="s">
        <v>94</v>
      </c>
      <c r="AC15" s="174" t="e">
        <f>S16-(S15+S17)/2</f>
        <v>#VALUE!</v>
      </c>
      <c r="AD15" s="393" t="s">
        <v>95</v>
      </c>
      <c r="AE15" s="394"/>
      <c r="AF15" s="175"/>
      <c r="AG15" s="190"/>
      <c r="AH15" s="395" t="s">
        <v>96</v>
      </c>
      <c r="AI15" s="396"/>
      <c r="AJ15" s="192" t="e">
        <f>C13*C15/(C14+C15-C17)</f>
        <v>#VALUE!</v>
      </c>
      <c r="AK15" s="190"/>
      <c r="AM15" s="190"/>
    </row>
    <row r="16" spans="1:39" ht="19" customHeight="1">
      <c r="A16" s="377" t="s">
        <v>97</v>
      </c>
      <c r="B16" s="378"/>
      <c r="C16" s="388"/>
      <c r="D16" s="388"/>
      <c r="E16" s="388"/>
      <c r="F16" s="389"/>
      <c r="G16" s="390" t="s">
        <v>99</v>
      </c>
      <c r="H16" s="390"/>
      <c r="I16" s="390"/>
      <c r="J16" s="390"/>
      <c r="K16" s="390"/>
      <c r="L16" s="374" t="e">
        <f t="shared" ref="L16:L18" si="2">IF(AND(INT(AJ16*10^(3+1))-10*INT(AJ16*10^(3))=5,MOD(INT(AJ16*10^3)-10*INT(AJ16*10^(3-1)),2)=0,INT(AJ16*10^(3+1))-AJ16*10^(3+1)=0),TRUNC(AJ16,3),ROUND(AJ16,3))</f>
        <v>#VALUE!</v>
      </c>
      <c r="M16" s="375"/>
      <c r="N16" s="375"/>
      <c r="O16" s="375"/>
      <c r="P16" s="391" t="s">
        <v>100</v>
      </c>
      <c r="Q16" s="390"/>
      <c r="R16" s="392"/>
      <c r="S16" s="375" t="e">
        <f t="shared" si="1"/>
        <v>#VALUE!</v>
      </c>
      <c r="T16" s="375"/>
      <c r="U16" s="375"/>
      <c r="V16" s="375"/>
      <c r="W16" s="375"/>
      <c r="X16" s="375"/>
      <c r="Y16" s="375"/>
      <c r="Z16" s="376"/>
      <c r="AA16" s="119"/>
      <c r="AB16" s="119"/>
      <c r="AC16" s="119"/>
      <c r="AD16" s="119"/>
      <c r="AE16" s="119"/>
      <c r="AF16" s="119"/>
      <c r="AG16" s="190"/>
      <c r="AH16" s="193" t="s">
        <v>101</v>
      </c>
      <c r="AI16" s="194"/>
      <c r="AJ16" s="192" t="e">
        <f>C13*C16/(C14+C15-C17)</f>
        <v>#VALUE!</v>
      </c>
      <c r="AK16" s="190"/>
      <c r="AM16" s="190"/>
    </row>
    <row r="17" spans="1:39" ht="19" customHeight="1">
      <c r="A17" s="377" t="s">
        <v>102</v>
      </c>
      <c r="B17" s="378"/>
      <c r="C17" s="388"/>
      <c r="D17" s="388"/>
      <c r="E17" s="388"/>
      <c r="F17" s="389"/>
      <c r="G17" s="390" t="s">
        <v>104</v>
      </c>
      <c r="H17" s="390"/>
      <c r="I17" s="390"/>
      <c r="J17" s="390"/>
      <c r="K17" s="390"/>
      <c r="L17" s="374" t="e">
        <f t="shared" si="2"/>
        <v>#VALUE!</v>
      </c>
      <c r="M17" s="375"/>
      <c r="N17" s="375"/>
      <c r="O17" s="375"/>
      <c r="P17" s="391" t="s">
        <v>105</v>
      </c>
      <c r="Q17" s="390"/>
      <c r="R17" s="392"/>
      <c r="S17" s="375" t="e">
        <f t="shared" si="1"/>
        <v>#VALUE!</v>
      </c>
      <c r="T17" s="375"/>
      <c r="U17" s="375"/>
      <c r="V17" s="375"/>
      <c r="W17" s="375"/>
      <c r="X17" s="375"/>
      <c r="Y17" s="375"/>
      <c r="Z17" s="376"/>
      <c r="AA17" s="119"/>
      <c r="AB17" s="119"/>
      <c r="AC17" s="119"/>
      <c r="AD17" s="119"/>
      <c r="AE17" s="119"/>
      <c r="AF17" s="119"/>
      <c r="AG17" s="190"/>
      <c r="AH17" s="195" t="s">
        <v>106</v>
      </c>
      <c r="AI17" s="196"/>
      <c r="AJ17" s="192" t="e">
        <f>C13*C17/(C14+C15-C17)</f>
        <v>#VALUE!</v>
      </c>
      <c r="AK17" s="190"/>
      <c r="AL17" s="190"/>
      <c r="AM17" s="190"/>
    </row>
    <row r="18" spans="1:39" ht="19" customHeight="1">
      <c r="A18" s="377" t="s">
        <v>107</v>
      </c>
      <c r="B18" s="378"/>
      <c r="C18" s="401" t="e">
        <f>S17-S15</f>
        <v>#VALUE!</v>
      </c>
      <c r="D18" s="401"/>
      <c r="E18" s="401"/>
      <c r="F18" s="402"/>
      <c r="G18" s="403" t="s">
        <v>108</v>
      </c>
      <c r="H18" s="403"/>
      <c r="I18" s="403"/>
      <c r="J18" s="403"/>
      <c r="K18" s="404"/>
      <c r="L18" s="405" t="e">
        <f t="shared" si="2"/>
        <v>#VALUE!</v>
      </c>
      <c r="M18" s="405"/>
      <c r="N18" s="405"/>
      <c r="O18" s="405"/>
      <c r="P18" s="405"/>
      <c r="Q18" s="405"/>
      <c r="R18" s="405"/>
      <c r="S18" s="405"/>
      <c r="T18" s="405"/>
      <c r="U18" s="405"/>
      <c r="V18" s="405"/>
      <c r="W18" s="405"/>
      <c r="X18" s="405"/>
      <c r="Y18" s="405"/>
      <c r="Z18" s="406"/>
      <c r="AA18" s="119"/>
      <c r="AB18" s="158" t="s">
        <v>109</v>
      </c>
      <c r="AC18" s="176"/>
      <c r="AD18" s="158" t="s">
        <v>111</v>
      </c>
      <c r="AE18" s="177"/>
      <c r="AF18" s="119"/>
      <c r="AG18" s="190"/>
      <c r="AH18" s="197" t="s">
        <v>113</v>
      </c>
      <c r="AI18" s="191"/>
      <c r="AJ18" s="192" t="e">
        <f>(S15+6*S16+S17)/8</f>
        <v>#VALUE!</v>
      </c>
      <c r="AK18" s="190"/>
      <c r="AL18" s="190"/>
      <c r="AM18" s="190"/>
    </row>
    <row r="19" spans="1:39" ht="13" customHeight="1">
      <c r="A19" s="122"/>
      <c r="B19" s="122"/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42"/>
      <c r="AA19" s="119"/>
      <c r="AB19" s="158" t="s">
        <v>114</v>
      </c>
      <c r="AC19" s="170" t="e">
        <f>L18-AC18</f>
        <v>#VALUE!</v>
      </c>
      <c r="AD19" s="158" t="s">
        <v>115</v>
      </c>
      <c r="AE19" s="178" t="e">
        <f>AE18+(AC19-AC20)*100*B21</f>
        <v>#VALUE!</v>
      </c>
      <c r="AF19" s="119"/>
      <c r="AG19" s="190"/>
      <c r="AH19" s="190"/>
      <c r="AI19" s="190"/>
      <c r="AJ19" s="190"/>
      <c r="AK19" s="190"/>
      <c r="AL19" s="190"/>
      <c r="AM19" s="190"/>
    </row>
    <row r="20" spans="1:39" ht="19" customHeight="1">
      <c r="A20" s="123" t="s">
        <v>116</v>
      </c>
      <c r="B20" s="124"/>
      <c r="C20" s="124"/>
      <c r="D20" s="124"/>
      <c r="E20" s="133"/>
      <c r="F20" s="133"/>
      <c r="G20" s="124"/>
      <c r="H20" s="124"/>
      <c r="I20" s="133"/>
      <c r="J20" s="133"/>
      <c r="K20" s="133"/>
      <c r="L20" s="133"/>
      <c r="M20" s="124"/>
      <c r="N20" s="124"/>
      <c r="O20" s="124"/>
      <c r="P20" s="124"/>
      <c r="Q20" s="124"/>
      <c r="R20" s="124"/>
      <c r="S20" s="124"/>
      <c r="T20" s="466" t="e">
        <f>'计算用，请勿动！'!H9</f>
        <v>#VALUE!</v>
      </c>
      <c r="U20" s="467"/>
      <c r="V20" s="467"/>
      <c r="W20" s="467"/>
      <c r="X20" s="467"/>
      <c r="Y20" s="467"/>
      <c r="Z20" s="468"/>
      <c r="AA20" s="119"/>
      <c r="AB20" s="158" t="s">
        <v>117</v>
      </c>
      <c r="AC20" s="179">
        <f>水尺计算初次!AC20</f>
        <v>0</v>
      </c>
      <c r="AD20" s="180" t="s">
        <v>171</v>
      </c>
      <c r="AE20" s="180"/>
      <c r="AF20" s="180"/>
      <c r="AG20" s="198"/>
      <c r="AH20" s="190"/>
      <c r="AI20" s="190"/>
      <c r="AJ20" s="190"/>
      <c r="AK20" s="190"/>
      <c r="AL20" s="190"/>
      <c r="AM20" s="190"/>
    </row>
    <row r="21" spans="1:39" ht="24.75" customHeight="1">
      <c r="A21" s="125" t="s">
        <v>119</v>
      </c>
      <c r="B21" s="411"/>
      <c r="C21" s="412"/>
      <c r="D21" s="413"/>
      <c r="E21" s="414" t="s">
        <v>121</v>
      </c>
      <c r="F21" s="385"/>
      <c r="G21" s="134"/>
      <c r="H21" s="135" t="s">
        <v>123</v>
      </c>
      <c r="I21" s="415"/>
      <c r="J21" s="416"/>
      <c r="K21" s="416"/>
      <c r="L21" s="417"/>
      <c r="M21" s="379" t="s">
        <v>125</v>
      </c>
      <c r="N21" s="380"/>
      <c r="O21" s="415"/>
      <c r="P21" s="417"/>
      <c r="Q21" s="418" t="s">
        <v>127</v>
      </c>
      <c r="R21" s="419"/>
      <c r="S21" s="419"/>
      <c r="T21" s="420">
        <f>I21-O21</f>
        <v>0</v>
      </c>
      <c r="U21" s="421"/>
      <c r="V21" s="421"/>
      <c r="W21" s="421"/>
      <c r="X21" s="421"/>
      <c r="Y21" s="421"/>
      <c r="Z21" s="422"/>
      <c r="AA21" s="119"/>
      <c r="AB21" s="159" t="s">
        <v>128</v>
      </c>
      <c r="AC21" s="181"/>
      <c r="AD21" s="182" t="s">
        <v>129</v>
      </c>
      <c r="AE21" s="172" t="str">
        <f>IF(AC21="","",C14/2-AC21)</f>
        <v/>
      </c>
      <c r="AF21" s="183" t="s">
        <v>130</v>
      </c>
      <c r="AG21" s="190"/>
      <c r="AH21" s="190"/>
      <c r="AI21" s="190"/>
      <c r="AJ21" s="190"/>
      <c r="AK21" s="190"/>
      <c r="AL21" s="190"/>
      <c r="AM21" s="190"/>
    </row>
    <row r="22" spans="1:39" ht="19" customHeight="1">
      <c r="A22" s="377" t="s">
        <v>131</v>
      </c>
      <c r="B22" s="423"/>
      <c r="C22" s="423"/>
      <c r="D22" s="423"/>
      <c r="E22" s="424"/>
      <c r="F22" s="424"/>
      <c r="G22" s="423"/>
      <c r="H22" s="423"/>
      <c r="I22" s="424"/>
      <c r="J22" s="424"/>
      <c r="K22" s="425"/>
      <c r="L22" s="426" t="s">
        <v>132</v>
      </c>
      <c r="M22" s="390"/>
      <c r="N22" s="390"/>
      <c r="O22" s="390"/>
      <c r="P22" s="390"/>
      <c r="Q22" s="390"/>
      <c r="R22" s="390"/>
      <c r="S22" s="390"/>
      <c r="T22" s="466" t="e">
        <f>'计算用，请勿动！'!H10</f>
        <v>#VALUE!</v>
      </c>
      <c r="U22" s="467"/>
      <c r="V22" s="467"/>
      <c r="W22" s="467"/>
      <c r="X22" s="467"/>
      <c r="Y22" s="467"/>
      <c r="Z22" s="468"/>
      <c r="AA22" s="119"/>
      <c r="AB22" s="427"/>
      <c r="AC22" s="427"/>
      <c r="AD22" s="427"/>
      <c r="AE22" s="427"/>
      <c r="AF22" s="119"/>
      <c r="AG22" s="190"/>
      <c r="AH22" s="190"/>
      <c r="AI22" s="190"/>
      <c r="AJ22" s="190"/>
      <c r="AK22" s="190"/>
      <c r="AL22" s="190"/>
      <c r="AM22" s="190"/>
    </row>
    <row r="23" spans="1:39" ht="19" customHeight="1">
      <c r="A23" s="377" t="s">
        <v>133</v>
      </c>
      <c r="B23" s="423"/>
      <c r="C23" s="423"/>
      <c r="D23" s="423"/>
      <c r="E23" s="423"/>
      <c r="F23" s="423"/>
      <c r="G23" s="423"/>
      <c r="H23" s="423"/>
      <c r="I23" s="423"/>
      <c r="J23" s="423"/>
      <c r="K23" s="378"/>
      <c r="L23" s="391" t="s">
        <v>134</v>
      </c>
      <c r="M23" s="390"/>
      <c r="N23" s="390"/>
      <c r="O23" s="390"/>
      <c r="P23" s="390"/>
      <c r="Q23" s="390"/>
      <c r="R23" s="366"/>
      <c r="S23" s="366"/>
      <c r="T23" s="466" t="e">
        <f>'计算用，请勿动！'!H11</f>
        <v>#VALUE!</v>
      </c>
      <c r="U23" s="467"/>
      <c r="V23" s="467"/>
      <c r="W23" s="467"/>
      <c r="X23" s="467"/>
      <c r="Y23" s="467"/>
      <c r="Z23" s="468"/>
      <c r="AA23" s="119"/>
      <c r="AB23" s="160" t="s">
        <v>172</v>
      </c>
      <c r="AC23" s="160" t="s">
        <v>173</v>
      </c>
      <c r="AD23" s="160" t="s">
        <v>174</v>
      </c>
      <c r="AE23" s="119"/>
      <c r="AF23" s="119"/>
      <c r="AG23" s="190"/>
      <c r="AH23" s="190"/>
      <c r="AI23" s="190"/>
      <c r="AJ23" s="190"/>
      <c r="AK23" s="190"/>
      <c r="AL23" s="190"/>
      <c r="AM23" s="190"/>
    </row>
    <row r="24" spans="1:39" ht="19" customHeight="1">
      <c r="A24" s="391" t="s">
        <v>138</v>
      </c>
      <c r="B24" s="390"/>
      <c r="C24" s="390"/>
      <c r="D24" s="390"/>
      <c r="E24" s="390"/>
      <c r="F24" s="390"/>
      <c r="G24" s="390"/>
      <c r="H24" s="390"/>
      <c r="I24" s="390"/>
      <c r="J24" s="390"/>
      <c r="K24" s="390"/>
      <c r="L24" s="390"/>
      <c r="M24" s="390"/>
      <c r="N24" s="390"/>
      <c r="O24" s="366"/>
      <c r="P24" s="366"/>
      <c r="Q24" s="366"/>
      <c r="R24" s="148"/>
      <c r="S24" s="148"/>
      <c r="T24" s="466" t="e">
        <f>'计算用，请勿动！'!H12</f>
        <v>#VALUE!</v>
      </c>
      <c r="U24" s="467"/>
      <c r="V24" s="467"/>
      <c r="W24" s="467"/>
      <c r="X24" s="467"/>
      <c r="Y24" s="467"/>
      <c r="Z24" s="468"/>
      <c r="AA24" s="119"/>
      <c r="AB24" s="161" t="e">
        <f>S16</f>
        <v>#VALUE!</v>
      </c>
      <c r="AC24" s="184" t="e">
        <f>'计算用，请勿动！'!H6</f>
        <v>#VALUE!</v>
      </c>
      <c r="AD24" s="184" t="e">
        <f>'计算用，请勿动！'!H7</f>
        <v>#VALUE!</v>
      </c>
      <c r="AE24" s="119"/>
      <c r="AF24" s="119"/>
      <c r="AG24" s="190"/>
      <c r="AH24" s="190"/>
      <c r="AI24" s="190"/>
      <c r="AJ24" s="190"/>
      <c r="AK24" s="190"/>
      <c r="AL24" s="190"/>
      <c r="AM24" s="190"/>
    </row>
    <row r="25" spans="1:39" ht="19" customHeight="1">
      <c r="A25" s="391" t="s">
        <v>139</v>
      </c>
      <c r="B25" s="390"/>
      <c r="C25" s="392"/>
      <c r="D25" s="428">
        <v>1.0249999999999999</v>
      </c>
      <c r="E25" s="429"/>
      <c r="F25" s="430"/>
      <c r="G25" s="431" t="s">
        <v>140</v>
      </c>
      <c r="H25" s="432"/>
      <c r="I25" s="432"/>
      <c r="J25" s="432"/>
      <c r="K25" s="433"/>
      <c r="L25" s="428">
        <v>1.0229999999999999</v>
      </c>
      <c r="M25" s="429"/>
      <c r="N25" s="429"/>
      <c r="O25" s="434"/>
      <c r="P25" s="435" t="s">
        <v>142</v>
      </c>
      <c r="Q25" s="435"/>
      <c r="R25" s="435"/>
      <c r="S25" s="435"/>
      <c r="T25" s="466" t="e">
        <f>'计算用，请勿动！'!H13</f>
        <v>#VALUE!</v>
      </c>
      <c r="U25" s="467"/>
      <c r="V25" s="467"/>
      <c r="W25" s="467"/>
      <c r="X25" s="467"/>
      <c r="Y25" s="467"/>
      <c r="Z25" s="468"/>
      <c r="AA25" s="119"/>
      <c r="AB25" s="119"/>
      <c r="AC25" s="119"/>
      <c r="AD25" s="119"/>
      <c r="AE25" s="119"/>
      <c r="AF25" s="119"/>
      <c r="AG25" s="190"/>
      <c r="AH25" s="190"/>
      <c r="AI25" s="190"/>
      <c r="AJ25" s="190"/>
      <c r="AK25" s="190"/>
      <c r="AL25" s="190"/>
      <c r="AM25" s="190"/>
    </row>
    <row r="26" spans="1:39" ht="19" customHeight="1">
      <c r="A26" s="391" t="s">
        <v>143</v>
      </c>
      <c r="B26" s="390"/>
      <c r="C26" s="390"/>
      <c r="D26" s="390"/>
      <c r="E26" s="390"/>
      <c r="F26" s="390"/>
      <c r="G26" s="390"/>
      <c r="H26" s="390"/>
      <c r="I26" s="390"/>
      <c r="J26" s="390"/>
      <c r="K26" s="390"/>
      <c r="L26" s="390"/>
      <c r="M26" s="390"/>
      <c r="N26" s="390"/>
      <c r="O26" s="390"/>
      <c r="P26" s="390"/>
      <c r="Q26" s="390"/>
      <c r="R26" s="149"/>
      <c r="S26" s="149"/>
      <c r="T26" s="466" t="e">
        <f>'计算用，请勿动！'!H14</f>
        <v>#VALUE!</v>
      </c>
      <c r="U26" s="467"/>
      <c r="V26" s="467"/>
      <c r="W26" s="467"/>
      <c r="X26" s="467"/>
      <c r="Y26" s="467"/>
      <c r="Z26" s="468"/>
      <c r="AA26" s="119"/>
      <c r="AB26" s="119"/>
      <c r="AC26" s="119"/>
      <c r="AD26" s="119"/>
      <c r="AE26" s="185" t="s">
        <v>175</v>
      </c>
      <c r="AF26" s="119"/>
      <c r="AG26" s="190"/>
      <c r="AH26" s="190"/>
      <c r="AI26" s="190"/>
      <c r="AJ26" s="190"/>
      <c r="AK26" s="190"/>
      <c r="AL26" s="190"/>
      <c r="AM26" s="190"/>
    </row>
    <row r="27" spans="1:39" ht="13" customHeight="1">
      <c r="A27" s="122"/>
      <c r="B27" s="122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  <c r="AA27" s="119"/>
      <c r="AB27" s="162" t="s">
        <v>144</v>
      </c>
      <c r="AC27" s="186" t="s">
        <v>176</v>
      </c>
      <c r="AD27" s="119" t="s">
        <v>146</v>
      </c>
      <c r="AE27" s="187" t="str">
        <f>水尺计算初次!AC27</f>
        <v>[船用物料]F7</v>
      </c>
      <c r="AF27" s="119"/>
      <c r="AG27" s="190"/>
      <c r="AH27" s="190"/>
      <c r="AI27" s="190"/>
      <c r="AJ27" s="190"/>
      <c r="AK27" s="190"/>
      <c r="AL27" s="190"/>
      <c r="AM27" s="190"/>
    </row>
    <row r="28" spans="1:39" ht="19" customHeight="1">
      <c r="A28" s="391" t="s">
        <v>147</v>
      </c>
      <c r="B28" s="390"/>
      <c r="C28" s="390"/>
      <c r="D28" s="408" t="e">
        <f>压载水!H42</f>
        <v>#VALUE!</v>
      </c>
      <c r="E28" s="409"/>
      <c r="F28" s="409"/>
      <c r="G28" s="410"/>
      <c r="H28" s="390" t="s">
        <v>148</v>
      </c>
      <c r="I28" s="390"/>
      <c r="J28" s="390"/>
      <c r="K28" s="436"/>
      <c r="L28" s="409">
        <f>压载水!K42</f>
        <v>0</v>
      </c>
      <c r="M28" s="409"/>
      <c r="N28" s="409"/>
      <c r="O28" s="409"/>
      <c r="P28" s="409"/>
      <c r="Q28" s="391" t="s">
        <v>149</v>
      </c>
      <c r="R28" s="390"/>
      <c r="S28" s="392"/>
      <c r="T28" s="409">
        <f>SUM(AC27:AC29)</f>
        <v>0</v>
      </c>
      <c r="U28" s="409"/>
      <c r="V28" s="409"/>
      <c r="W28" s="409"/>
      <c r="X28" s="409"/>
      <c r="Y28" s="409"/>
      <c r="Z28" s="410"/>
      <c r="AA28" s="119"/>
      <c r="AB28" s="162" t="s">
        <v>150</v>
      </c>
      <c r="AC28" s="186" t="s">
        <v>177</v>
      </c>
      <c r="AD28" s="119" t="s">
        <v>146</v>
      </c>
      <c r="AE28" s="187" t="str">
        <f>水尺计算初次!AC28</f>
        <v>[船用物料]F8</v>
      </c>
      <c r="AF28" s="119"/>
      <c r="AG28" s="190"/>
      <c r="AH28" s="190"/>
      <c r="AI28" s="190"/>
      <c r="AJ28" s="190"/>
      <c r="AK28" s="190"/>
      <c r="AL28" s="190"/>
      <c r="AM28" s="190"/>
    </row>
    <row r="29" spans="1:39" ht="19" customHeight="1">
      <c r="A29" s="391" t="s">
        <v>152</v>
      </c>
      <c r="B29" s="390"/>
      <c r="C29" s="390"/>
      <c r="D29" s="390"/>
      <c r="E29" s="390"/>
      <c r="F29" s="390"/>
      <c r="G29" s="390"/>
      <c r="H29" s="390"/>
      <c r="I29" s="390"/>
      <c r="J29" s="390"/>
      <c r="K29" s="390"/>
      <c r="L29" s="390"/>
      <c r="M29" s="390"/>
      <c r="N29" s="390"/>
      <c r="O29" s="390"/>
      <c r="P29" s="390"/>
      <c r="Q29" s="390"/>
      <c r="R29" s="124"/>
      <c r="S29" s="150"/>
      <c r="T29" s="437">
        <v>0</v>
      </c>
      <c r="U29" s="437"/>
      <c r="V29" s="437"/>
      <c r="W29" s="437"/>
      <c r="X29" s="437"/>
      <c r="Y29" s="437"/>
      <c r="Z29" s="438"/>
      <c r="AA29" s="163" t="s">
        <v>153</v>
      </c>
      <c r="AB29" s="162" t="s">
        <v>154</v>
      </c>
      <c r="AC29" s="186"/>
      <c r="AD29" s="119" t="s">
        <v>146</v>
      </c>
      <c r="AE29" s="187" t="str">
        <f>水尺计算初次!AC29</f>
        <v>[船用物料]F9</v>
      </c>
      <c r="AF29" s="119"/>
      <c r="AG29" s="190"/>
      <c r="AH29" s="190"/>
      <c r="AI29" s="190"/>
      <c r="AJ29" s="190"/>
      <c r="AK29" s="190"/>
      <c r="AL29" s="190"/>
      <c r="AM29" s="190"/>
    </row>
    <row r="30" spans="1:39" ht="19" customHeight="1">
      <c r="A30" s="391" t="s">
        <v>156</v>
      </c>
      <c r="B30" s="390"/>
      <c r="C30" s="390"/>
      <c r="D30" s="390"/>
      <c r="E30" s="390"/>
      <c r="F30" s="390"/>
      <c r="G30" s="390"/>
      <c r="H30" s="390"/>
      <c r="I30" s="390"/>
      <c r="J30" s="390"/>
      <c r="K30" s="390"/>
      <c r="L30" s="390"/>
      <c r="M30" s="390"/>
      <c r="N30" s="390"/>
      <c r="O30" s="390"/>
      <c r="P30" s="390"/>
      <c r="Q30" s="390"/>
      <c r="R30" s="124"/>
      <c r="S30" s="150"/>
      <c r="T30" s="409" t="e">
        <f>D28+L28+T28+T29</f>
        <v>#VALUE!</v>
      </c>
      <c r="U30" s="409"/>
      <c r="V30" s="409"/>
      <c r="W30" s="409"/>
      <c r="X30" s="409"/>
      <c r="Y30" s="409"/>
      <c r="Z30" s="410"/>
      <c r="AA30" s="164"/>
      <c r="AB30" s="164"/>
      <c r="AC30" s="164"/>
      <c r="AD30" s="164"/>
      <c r="AE30" s="164"/>
      <c r="AF30" s="164"/>
      <c r="AG30" s="199"/>
      <c r="AH30" s="190"/>
      <c r="AI30" s="190"/>
      <c r="AJ30" s="190"/>
      <c r="AK30" s="190"/>
      <c r="AL30" s="190"/>
      <c r="AM30" s="190"/>
    </row>
    <row r="31" spans="1:39" ht="19" customHeight="1">
      <c r="A31" s="377" t="s">
        <v>157</v>
      </c>
      <c r="B31" s="423"/>
      <c r="C31" s="423"/>
      <c r="D31" s="423"/>
      <c r="E31" s="423"/>
      <c r="F31" s="423"/>
      <c r="G31" s="423"/>
      <c r="H31" s="423"/>
      <c r="I31" s="423"/>
      <c r="J31" s="423"/>
      <c r="K31" s="423"/>
      <c r="L31" s="423"/>
      <c r="M31" s="423"/>
      <c r="N31" s="423"/>
      <c r="O31" s="423"/>
      <c r="P31" s="423"/>
      <c r="Q31" s="423"/>
      <c r="R31" s="124"/>
      <c r="S31" s="150"/>
      <c r="T31" s="409" t="e">
        <f>T26-T30</f>
        <v>#VALUE!</v>
      </c>
      <c r="U31" s="409"/>
      <c r="V31" s="409"/>
      <c r="W31" s="409"/>
      <c r="X31" s="409"/>
      <c r="Y31" s="409"/>
      <c r="Z31" s="410"/>
      <c r="AA31" s="164"/>
      <c r="AB31" s="165"/>
      <c r="AC31" s="165"/>
      <c r="AD31" s="164"/>
      <c r="AE31" s="164"/>
      <c r="AF31" s="164"/>
      <c r="AG31" s="199"/>
      <c r="AH31" s="190"/>
      <c r="AI31" s="190"/>
      <c r="AJ31" s="190"/>
      <c r="AK31" s="190"/>
      <c r="AL31" s="190"/>
      <c r="AM31" s="190"/>
    </row>
    <row r="32" spans="1:39" ht="19" customHeight="1">
      <c r="A32" s="391" t="s">
        <v>160</v>
      </c>
      <c r="B32" s="390"/>
      <c r="C32" s="390"/>
      <c r="D32" s="390"/>
      <c r="E32" s="390"/>
      <c r="F32" s="390"/>
      <c r="G32" s="390"/>
      <c r="H32" s="390"/>
      <c r="I32" s="390"/>
      <c r="J32" s="390"/>
      <c r="K32" s="390"/>
      <c r="L32" s="390"/>
      <c r="M32" s="390"/>
      <c r="N32" s="390"/>
      <c r="O32" s="390"/>
      <c r="P32" s="390"/>
      <c r="Q32" s="390"/>
      <c r="R32" s="124"/>
      <c r="S32" s="124"/>
      <c r="T32" s="440" t="e">
        <f>'计算用，请勿动！'!F20</f>
        <v>#VALUE!</v>
      </c>
      <c r="U32" s="441"/>
      <c r="V32" s="441"/>
      <c r="W32" s="441"/>
      <c r="X32" s="441"/>
      <c r="Y32" s="441"/>
      <c r="Z32" s="442"/>
      <c r="AA32" s="164"/>
      <c r="AB32" s="165"/>
      <c r="AC32" s="165"/>
      <c r="AD32" s="164"/>
      <c r="AE32" s="164"/>
      <c r="AF32" s="164"/>
      <c r="AG32" s="199"/>
      <c r="AH32" s="190"/>
      <c r="AI32" s="190"/>
      <c r="AJ32" s="190"/>
      <c r="AK32" s="190"/>
      <c r="AL32" s="190"/>
      <c r="AM32" s="190"/>
    </row>
    <row r="33" spans="1:39" ht="13" customHeight="1">
      <c r="A33" s="122"/>
      <c r="B33" s="122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  <c r="AA33" s="164"/>
      <c r="AB33" s="165"/>
      <c r="AC33" s="165"/>
      <c r="AD33" s="164"/>
      <c r="AE33" s="164"/>
      <c r="AF33" s="164"/>
      <c r="AG33" s="199"/>
      <c r="AH33" s="190"/>
      <c r="AI33" s="190"/>
      <c r="AJ33" s="190"/>
      <c r="AK33" s="190"/>
      <c r="AL33" s="190"/>
      <c r="AM33" s="190"/>
    </row>
    <row r="34" spans="1:39" ht="19" customHeight="1">
      <c r="A34" s="391" t="s">
        <v>162</v>
      </c>
      <c r="B34" s="390"/>
      <c r="C34" s="390"/>
      <c r="D34" s="469" t="str">
        <f>水尺计算初次!D34</f>
        <v>D7</v>
      </c>
      <c r="E34" s="470"/>
      <c r="F34" s="470"/>
      <c r="G34" s="471"/>
      <c r="H34" s="391" t="s">
        <v>164</v>
      </c>
      <c r="I34" s="390"/>
      <c r="J34" s="390"/>
      <c r="K34" s="392"/>
      <c r="L34" s="446" t="e">
        <f>IF(工作记录单!T5="装货",水尺计算初次!L34,T31-D34)</f>
        <v>#VALUE!</v>
      </c>
      <c r="M34" s="446"/>
      <c r="N34" s="446"/>
      <c r="O34" s="446"/>
      <c r="P34" s="143" t="s">
        <v>165</v>
      </c>
      <c r="Q34" s="367" t="s">
        <v>166</v>
      </c>
      <c r="R34" s="368"/>
      <c r="S34" s="368"/>
      <c r="T34" s="472">
        <f>IF(工作记录单!T5="卸货",工作记录单!U8,T32)</f>
        <v>0</v>
      </c>
      <c r="U34" s="473"/>
      <c r="V34" s="473"/>
      <c r="W34" s="473"/>
      <c r="X34" s="473"/>
      <c r="Y34" s="473"/>
      <c r="Z34" s="474"/>
      <c r="AA34" s="164"/>
      <c r="AB34" s="165"/>
      <c r="AC34" s="165"/>
      <c r="AD34" s="164"/>
      <c r="AE34" s="164"/>
      <c r="AF34" s="164"/>
      <c r="AG34" s="199"/>
      <c r="AH34" s="190"/>
      <c r="AI34" s="190"/>
      <c r="AJ34" s="190"/>
      <c r="AK34" s="190"/>
      <c r="AL34" s="190"/>
      <c r="AM34" s="190"/>
    </row>
    <row r="35" spans="1:39">
      <c r="A35" s="122"/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64"/>
      <c r="AB35" s="164"/>
      <c r="AC35" s="164"/>
      <c r="AD35" s="164"/>
      <c r="AE35" s="164"/>
      <c r="AF35" s="164"/>
      <c r="AG35" s="199"/>
      <c r="AH35" s="190"/>
      <c r="AI35" s="190"/>
      <c r="AJ35" s="190"/>
      <c r="AK35" s="190"/>
      <c r="AL35" s="190"/>
      <c r="AM35" s="190"/>
    </row>
    <row r="36" spans="1:39">
      <c r="A36" s="449" t="s">
        <v>167</v>
      </c>
      <c r="B36" s="449"/>
      <c r="C36" s="449"/>
      <c r="D36" s="126"/>
      <c r="E36" s="450" t="s">
        <v>168</v>
      </c>
      <c r="F36" s="450"/>
      <c r="G36" s="450"/>
      <c r="H36" s="450"/>
      <c r="I36" s="450"/>
      <c r="J36" s="450"/>
      <c r="K36" s="450"/>
      <c r="L36" s="450"/>
      <c r="M36" s="450"/>
      <c r="N36" s="450"/>
      <c r="O36" s="450"/>
      <c r="P36" s="450"/>
      <c r="Q36" s="450"/>
      <c r="R36" s="450"/>
      <c r="S36" s="450"/>
      <c r="T36" s="450"/>
      <c r="U36" s="450"/>
      <c r="V36" s="450"/>
      <c r="W36" s="450"/>
      <c r="X36" s="450"/>
      <c r="Y36" s="450"/>
      <c r="Z36" s="450"/>
      <c r="AA36" s="164"/>
      <c r="AB36" s="164"/>
      <c r="AC36" s="164"/>
      <c r="AD36" s="164"/>
      <c r="AE36" s="164"/>
      <c r="AF36" s="164"/>
      <c r="AG36" s="199"/>
      <c r="AH36" s="190"/>
      <c r="AI36" s="190"/>
      <c r="AJ36" s="190"/>
      <c r="AK36" s="190"/>
      <c r="AL36" s="190"/>
      <c r="AM36" s="190"/>
    </row>
    <row r="37" spans="1:39" ht="18">
      <c r="A37" s="127"/>
      <c r="B37" s="127"/>
      <c r="C37" s="127"/>
      <c r="D37" s="127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64"/>
      <c r="AB37" s="164"/>
      <c r="AC37" s="188"/>
      <c r="AD37" s="164"/>
      <c r="AE37" s="164"/>
      <c r="AF37" s="164"/>
      <c r="AG37" s="199"/>
      <c r="AH37" s="190"/>
      <c r="AI37" s="190"/>
      <c r="AJ37" s="190"/>
      <c r="AK37" s="190"/>
      <c r="AL37" s="190"/>
      <c r="AM37" s="190"/>
    </row>
    <row r="38" spans="1:39" ht="18">
      <c r="A38" s="128" t="s">
        <v>169</v>
      </c>
      <c r="B38" s="129"/>
      <c r="C38" s="129"/>
      <c r="D38" s="129"/>
      <c r="E38" s="136"/>
      <c r="F38" s="137"/>
      <c r="G38" s="137"/>
      <c r="H38" s="136"/>
      <c r="I38" s="136"/>
      <c r="J38" s="136"/>
      <c r="K38" s="136"/>
      <c r="L38" s="136"/>
      <c r="M38" s="136"/>
      <c r="N38" s="136"/>
      <c r="O38" s="136"/>
      <c r="P38" s="136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64"/>
      <c r="AB38" s="164"/>
      <c r="AC38" s="164"/>
      <c r="AD38" s="164"/>
      <c r="AE38" s="164"/>
      <c r="AF38" s="164"/>
      <c r="AG38" s="199"/>
      <c r="AH38" s="190"/>
      <c r="AI38" s="190"/>
      <c r="AJ38" s="190"/>
      <c r="AK38" s="190"/>
      <c r="AL38" s="190"/>
      <c r="AM38" s="190"/>
    </row>
    <row r="39" spans="1:39">
      <c r="A39" s="451"/>
      <c r="B39" s="451"/>
      <c r="C39" s="451"/>
      <c r="D39" s="451"/>
      <c r="E39" s="451"/>
      <c r="F39" s="451"/>
      <c r="G39" s="451"/>
      <c r="H39" s="451"/>
      <c r="I39" s="451"/>
      <c r="J39" s="451"/>
      <c r="K39" s="451"/>
      <c r="L39" s="451"/>
      <c r="M39" s="451"/>
      <c r="N39" s="451"/>
      <c r="O39" s="451"/>
      <c r="P39" s="451"/>
      <c r="Q39" s="451"/>
      <c r="R39" s="451"/>
      <c r="S39" s="451"/>
      <c r="T39" s="451"/>
      <c r="U39" s="451"/>
      <c r="V39" s="451"/>
      <c r="W39" s="451"/>
      <c r="X39" s="451"/>
      <c r="Y39" s="451"/>
      <c r="Z39" s="451"/>
      <c r="AD39" s="189"/>
      <c r="AE39" s="189"/>
      <c r="AF39" s="189"/>
    </row>
  </sheetData>
  <protectedRanges>
    <protectedRange sqref="B6 N6 H6 T6 E9:F11 G14:I14 E14:E17 R34 Q21 R20 T21 D25 I25 R29 D34 I34 G21:H21 L9:L11 I9:I11" name="区域1" securityDescriptor=""/>
  </protectedRanges>
  <mergeCells count="113">
    <mergeCell ref="A36:C36"/>
    <mergeCell ref="E36:Z36"/>
    <mergeCell ref="A39:Z39"/>
    <mergeCell ref="B6:F7"/>
    <mergeCell ref="H6:K7"/>
    <mergeCell ref="N6:Q7"/>
    <mergeCell ref="T6:Z7"/>
    <mergeCell ref="L13:O14"/>
    <mergeCell ref="A29:Q29"/>
    <mergeCell ref="T29:Z29"/>
    <mergeCell ref="A30:Q30"/>
    <mergeCell ref="T30:Z30"/>
    <mergeCell ref="A31:Q31"/>
    <mergeCell ref="T31:Z31"/>
    <mergeCell ref="A32:Q32"/>
    <mergeCell ref="T32:Z32"/>
    <mergeCell ref="A34:C34"/>
    <mergeCell ref="D34:G34"/>
    <mergeCell ref="H34:K34"/>
    <mergeCell ref="L34:O34"/>
    <mergeCell ref="Q34:S34"/>
    <mergeCell ref="T34:Z34"/>
    <mergeCell ref="A25:C25"/>
    <mergeCell ref="D25:F25"/>
    <mergeCell ref="G25:K25"/>
    <mergeCell ref="L25:O25"/>
    <mergeCell ref="P25:S25"/>
    <mergeCell ref="T25:Z25"/>
    <mergeCell ref="A26:Q26"/>
    <mergeCell ref="T26:Z26"/>
    <mergeCell ref="A28:C28"/>
    <mergeCell ref="D28:G28"/>
    <mergeCell ref="H28:K28"/>
    <mergeCell ref="L28:P28"/>
    <mergeCell ref="Q28:S28"/>
    <mergeCell ref="T28:Z28"/>
    <mergeCell ref="A22:K22"/>
    <mergeCell ref="L22:S22"/>
    <mergeCell ref="T22:Z22"/>
    <mergeCell ref="AB22:AE22"/>
    <mergeCell ref="A23:K23"/>
    <mergeCell ref="L23:S23"/>
    <mergeCell ref="T23:Z23"/>
    <mergeCell ref="A24:Q24"/>
    <mergeCell ref="T24:Z24"/>
    <mergeCell ref="A18:B18"/>
    <mergeCell ref="C18:F18"/>
    <mergeCell ref="G18:K18"/>
    <mergeCell ref="L18:Z18"/>
    <mergeCell ref="T20:Z20"/>
    <mergeCell ref="B21:D21"/>
    <mergeCell ref="E21:F21"/>
    <mergeCell ref="I21:L21"/>
    <mergeCell ref="M21:N21"/>
    <mergeCell ref="O21:P21"/>
    <mergeCell ref="Q21:S21"/>
    <mergeCell ref="T21:Z21"/>
    <mergeCell ref="A16:B16"/>
    <mergeCell ref="C16:F16"/>
    <mergeCell ref="G16:K16"/>
    <mergeCell ref="L16:O16"/>
    <mergeCell ref="P16:R16"/>
    <mergeCell ref="S16:Z16"/>
    <mergeCell ref="A17:B17"/>
    <mergeCell ref="C17:F17"/>
    <mergeCell ref="G17:K17"/>
    <mergeCell ref="L17:O17"/>
    <mergeCell ref="P17:R17"/>
    <mergeCell ref="S17:Z17"/>
    <mergeCell ref="A14:B14"/>
    <mergeCell ref="C14:F14"/>
    <mergeCell ref="H14:K14"/>
    <mergeCell ref="P14:Z14"/>
    <mergeCell ref="AH14:AI14"/>
    <mergeCell ref="AJ14:AK14"/>
    <mergeCell ref="A15:B15"/>
    <mergeCell ref="C15:F15"/>
    <mergeCell ref="G15:K15"/>
    <mergeCell ref="L15:O15"/>
    <mergeCell ref="P15:R15"/>
    <mergeCell ref="S15:Z15"/>
    <mergeCell ref="AD15:AE15"/>
    <mergeCell ref="AH15:AI15"/>
    <mergeCell ref="A11:C11"/>
    <mergeCell ref="D11:G11"/>
    <mergeCell ref="H11:K11"/>
    <mergeCell ref="L11:O11"/>
    <mergeCell ref="P11:R11"/>
    <mergeCell ref="S11:Z11"/>
    <mergeCell ref="A13:B13"/>
    <mergeCell ref="C13:K13"/>
    <mergeCell ref="P13:Z13"/>
    <mergeCell ref="A9:C9"/>
    <mergeCell ref="D9:G9"/>
    <mergeCell ref="H9:K9"/>
    <mergeCell ref="L9:O9"/>
    <mergeCell ref="P9:R9"/>
    <mergeCell ref="S9:Z9"/>
    <mergeCell ref="A10:C10"/>
    <mergeCell ref="D10:G10"/>
    <mergeCell ref="H10:K10"/>
    <mergeCell ref="L10:O10"/>
    <mergeCell ref="P10:R10"/>
    <mergeCell ref="S10:Z10"/>
    <mergeCell ref="B1:L1"/>
    <mergeCell ref="Q1:Z1"/>
    <mergeCell ref="B2:M2"/>
    <mergeCell ref="A3:Q3"/>
    <mergeCell ref="R3:S3"/>
    <mergeCell ref="T3:Z3"/>
    <mergeCell ref="A4:Z4"/>
    <mergeCell ref="L6:M6"/>
    <mergeCell ref="R6:S6"/>
  </mergeCells>
  <phoneticPr fontId="28" type="noConversion"/>
  <pageMargins left="0.55000000000000004" right="0.55000000000000004" top="0.78680555555555598" bottom="0.39305555555555599" header="0.39305555555555599" footer="0.39305555555555599"/>
  <pageSetup paperSize="9" orientation="portrait" blackAndWhite="1"/>
  <headerFooter alignWithMargins="0">
    <oddFooter>&amp;L&amp;"仿宋_GB2312,常规"&amp;9实施日期：2019年8月20日&amp;R&amp;"仿宋_GB2312,常规"&amp;9第1 页 共 1 页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04"/>
  <sheetViews>
    <sheetView topLeftCell="A18" zoomScale="221" zoomScaleNormal="221" workbookViewId="0">
      <selection activeCell="A45" sqref="A45:M45"/>
    </sheetView>
  </sheetViews>
  <sheetFormatPr baseColWidth="10" defaultColWidth="9" defaultRowHeight="15"/>
  <cols>
    <col min="1" max="1" width="7.6640625" customWidth="1"/>
    <col min="2" max="2" width="6" customWidth="1"/>
    <col min="3" max="4" width="5.6640625" customWidth="1"/>
    <col min="5" max="5" width="7" customWidth="1"/>
    <col min="6" max="6" width="6" customWidth="1"/>
    <col min="7" max="7" width="7.6640625" customWidth="1"/>
    <col min="8" max="8" width="5.6640625" customWidth="1"/>
    <col min="9" max="9" width="5.5" customWidth="1"/>
    <col min="10" max="10" width="5.6640625" customWidth="1"/>
    <col min="11" max="11" width="7" customWidth="1"/>
    <col min="12" max="12" width="6" customWidth="1"/>
    <col min="13" max="13" width="9" customWidth="1"/>
  </cols>
  <sheetData>
    <row r="1" spans="1:19" ht="15.75" customHeight="1">
      <c r="A1" s="37"/>
      <c r="B1" s="475" t="s">
        <v>178</v>
      </c>
      <c r="C1" s="475"/>
      <c r="D1" s="475"/>
      <c r="E1" s="475"/>
      <c r="F1" s="475"/>
      <c r="G1" s="475"/>
      <c r="H1" s="475"/>
      <c r="I1" s="476" t="s">
        <v>179</v>
      </c>
      <c r="J1" s="476"/>
      <c r="K1" s="476"/>
      <c r="L1" s="476"/>
      <c r="M1" s="476"/>
      <c r="N1" s="101"/>
      <c r="O1" s="101"/>
      <c r="P1" s="101"/>
      <c r="Q1" s="101"/>
      <c r="R1" s="101"/>
      <c r="S1" s="101"/>
    </row>
    <row r="2" spans="1:19" ht="16.5" customHeight="1">
      <c r="A2" s="37"/>
      <c r="B2" s="250" t="s">
        <v>2</v>
      </c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101"/>
      <c r="O2" s="101"/>
      <c r="P2" s="101"/>
      <c r="Q2" s="101"/>
      <c r="R2" s="101"/>
      <c r="S2" s="101"/>
    </row>
    <row r="3" spans="1:19" ht="15.75" customHeight="1">
      <c r="A3" s="61" t="s">
        <v>180</v>
      </c>
      <c r="B3" s="477" t="s">
        <v>181</v>
      </c>
      <c r="C3" s="477"/>
      <c r="D3" s="477"/>
      <c r="E3" s="477"/>
      <c r="F3" s="477"/>
      <c r="G3" s="477"/>
      <c r="H3" s="477"/>
      <c r="I3" s="477"/>
      <c r="J3" s="477"/>
      <c r="K3" s="477"/>
      <c r="L3" s="316" t="str">
        <f>水尺计算初次!T3</f>
        <v>32110202104000114</v>
      </c>
      <c r="M3" s="316"/>
      <c r="N3" s="102"/>
      <c r="O3" s="101"/>
      <c r="P3" s="101"/>
      <c r="Q3" s="101"/>
      <c r="R3" s="101"/>
      <c r="S3" s="101"/>
    </row>
    <row r="4" spans="1:19" ht="30" customHeight="1">
      <c r="A4" s="251" t="s">
        <v>182</v>
      </c>
      <c r="B4" s="251"/>
      <c r="C4" s="251"/>
      <c r="D4" s="251"/>
      <c r="E4" s="251"/>
      <c r="F4" s="251"/>
      <c r="G4" s="251"/>
      <c r="H4" s="251"/>
      <c r="I4" s="251"/>
      <c r="J4" s="251"/>
      <c r="K4" s="251"/>
      <c r="L4" s="251"/>
      <c r="M4" s="251"/>
      <c r="N4" s="103" t="s">
        <v>51</v>
      </c>
      <c r="O4" s="101"/>
      <c r="P4" s="101"/>
      <c r="Q4" s="101"/>
      <c r="R4" s="101"/>
      <c r="S4" s="101"/>
    </row>
    <row r="5" spans="1:19" ht="9" customHeight="1">
      <c r="A5" s="62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101"/>
      <c r="O5" s="101"/>
      <c r="P5" s="101"/>
      <c r="Q5" s="101"/>
      <c r="R5" s="101"/>
      <c r="S5" s="101"/>
    </row>
    <row r="6" spans="1:19" ht="16">
      <c r="A6" s="315" t="s">
        <v>183</v>
      </c>
      <c r="B6" s="478"/>
      <c r="C6" s="478"/>
      <c r="D6" s="478"/>
      <c r="E6" s="478"/>
      <c r="F6" s="478"/>
      <c r="G6" s="478"/>
      <c r="H6" s="478"/>
      <c r="I6" s="478"/>
      <c r="J6" s="478"/>
      <c r="K6" s="478"/>
      <c r="L6" s="478"/>
      <c r="M6" s="104">
        <f>工作记录单!D12</f>
        <v>44337</v>
      </c>
      <c r="N6" s="101"/>
      <c r="O6" s="101"/>
      <c r="P6" s="101"/>
      <c r="Q6" s="101"/>
      <c r="R6" s="101"/>
      <c r="S6" s="101"/>
    </row>
    <row r="7" spans="1:19" ht="16">
      <c r="A7" s="63"/>
      <c r="B7" s="64" t="s">
        <v>184</v>
      </c>
      <c r="C7" s="479" t="str">
        <f>工作记录单!C7</f>
        <v>MOUNT BOLIVAR</v>
      </c>
      <c r="D7" s="479"/>
      <c r="E7" s="42"/>
      <c r="F7" s="42"/>
      <c r="G7" s="82"/>
      <c r="H7" s="82"/>
      <c r="I7" s="252" t="s">
        <v>185</v>
      </c>
      <c r="J7" s="252"/>
      <c r="K7" s="252"/>
      <c r="L7" s="480"/>
      <c r="M7" s="105">
        <f>工作记录单!L12</f>
        <v>44339</v>
      </c>
      <c r="N7" s="101"/>
      <c r="O7" s="101"/>
      <c r="P7" s="101"/>
      <c r="Q7" s="101"/>
      <c r="R7" s="101"/>
      <c r="S7" s="101"/>
    </row>
    <row r="8" spans="1:19" ht="15" customHeight="1">
      <c r="A8" s="481" t="s">
        <v>186</v>
      </c>
      <c r="B8" s="481" t="s">
        <v>187</v>
      </c>
      <c r="C8" s="481"/>
      <c r="D8" s="481"/>
      <c r="E8" s="481"/>
      <c r="F8" s="481"/>
      <c r="G8" s="481"/>
      <c r="H8" s="481" t="s">
        <v>188</v>
      </c>
      <c r="I8" s="481"/>
      <c r="J8" s="481"/>
      <c r="K8" s="481"/>
      <c r="L8" s="481"/>
      <c r="M8" s="481"/>
      <c r="N8" s="101"/>
      <c r="O8" s="101"/>
      <c r="P8" s="101"/>
      <c r="Q8" s="101"/>
      <c r="R8" s="101"/>
      <c r="S8" s="101"/>
    </row>
    <row r="9" spans="1:19" ht="15" customHeight="1">
      <c r="A9" s="481"/>
      <c r="B9" s="482" t="s">
        <v>189</v>
      </c>
      <c r="C9" s="482"/>
      <c r="D9" s="482"/>
      <c r="E9" s="483" t="e">
        <f>水尺计算初次!C18</f>
        <v>#VALUE!</v>
      </c>
      <c r="F9" s="483"/>
      <c r="G9" s="483"/>
      <c r="H9" s="482" t="s">
        <v>189</v>
      </c>
      <c r="I9" s="482"/>
      <c r="J9" s="482"/>
      <c r="K9" s="484" t="e">
        <f>水尺计算末次!C18</f>
        <v>#VALUE!</v>
      </c>
      <c r="L9" s="484"/>
      <c r="M9" s="484"/>
      <c r="N9" s="101"/>
      <c r="O9" s="101"/>
      <c r="P9" s="101"/>
      <c r="Q9" s="101"/>
      <c r="R9" s="101"/>
      <c r="S9" s="101"/>
    </row>
    <row r="10" spans="1:19" ht="35.25" customHeight="1">
      <c r="A10" s="481"/>
      <c r="B10" s="65" t="s">
        <v>190</v>
      </c>
      <c r="C10" s="65" t="s">
        <v>191</v>
      </c>
      <c r="D10" s="65" t="s">
        <v>192</v>
      </c>
      <c r="E10" s="83" t="s">
        <v>193</v>
      </c>
      <c r="F10" s="65" t="s">
        <v>194</v>
      </c>
      <c r="G10" s="84" t="s">
        <v>195</v>
      </c>
      <c r="H10" s="65" t="s">
        <v>190</v>
      </c>
      <c r="I10" s="65" t="s">
        <v>191</v>
      </c>
      <c r="J10" s="65" t="s">
        <v>196</v>
      </c>
      <c r="K10" s="65" t="s">
        <v>193</v>
      </c>
      <c r="L10" s="65" t="s">
        <v>194</v>
      </c>
      <c r="M10" s="106" t="s">
        <v>195</v>
      </c>
      <c r="N10" s="101"/>
      <c r="O10" s="101"/>
      <c r="P10" s="101"/>
      <c r="Q10" s="101"/>
      <c r="R10" s="101"/>
      <c r="S10" s="101"/>
    </row>
    <row r="11" spans="1:19" ht="15" customHeight="1">
      <c r="A11" s="66" t="s">
        <v>197</v>
      </c>
      <c r="B11" s="67" t="s">
        <v>198</v>
      </c>
      <c r="C11" s="67" t="s">
        <v>198</v>
      </c>
      <c r="D11" s="68" t="s">
        <v>199</v>
      </c>
      <c r="E11" s="85" t="s">
        <v>200</v>
      </c>
      <c r="F11" s="86" t="s">
        <v>201</v>
      </c>
      <c r="G11" s="87" t="e">
        <f>E11*F11</f>
        <v>#VALUE!</v>
      </c>
      <c r="H11" s="88" t="str">
        <f>IF(B11="","",B11)</f>
        <v>D20:F58</v>
      </c>
      <c r="I11" s="67" t="s">
        <v>202</v>
      </c>
      <c r="J11" s="67" t="s">
        <v>202</v>
      </c>
      <c r="K11" s="87" t="s">
        <v>203</v>
      </c>
      <c r="L11" s="98" t="str">
        <f>IF(A11="","",IF(F11=1,1,IF(E11&gt;=K11,F11,MROUND(((E11*F11+(K11-E11)*水尺计算初次!$L$25)/K11),0.0005))))</f>
        <v>默认 1.025</v>
      </c>
      <c r="M11" s="107" t="e">
        <f>K11*L11</f>
        <v>#VALUE!</v>
      </c>
      <c r="N11" s="108" t="s">
        <v>204</v>
      </c>
      <c r="O11" s="108"/>
      <c r="P11" s="108"/>
      <c r="Q11" s="108"/>
      <c r="R11" s="108"/>
      <c r="S11" s="101"/>
    </row>
    <row r="12" spans="1:19" ht="15" customHeight="1">
      <c r="A12" s="66" t="s">
        <v>205</v>
      </c>
      <c r="B12" s="67"/>
      <c r="C12" s="69"/>
      <c r="D12" s="67"/>
      <c r="E12" s="89"/>
      <c r="F12" s="90"/>
      <c r="G12" s="87">
        <f t="shared" ref="G12:G30" si="0">E12*F12</f>
        <v>0</v>
      </c>
      <c r="H12" s="88" t="str">
        <f t="shared" ref="H12:H30" si="1">IF(B12="","",B12)</f>
        <v/>
      </c>
      <c r="I12" s="67"/>
      <c r="J12" s="67"/>
      <c r="K12" s="87"/>
      <c r="L12" s="98">
        <f>IF(A12="","",IF(F12=1,1,IF(E12&gt;=K12,F12,MROUND(((E12*F12+(K12-E12)*水尺计算初次!$L$25)/K12),0.0005))))</f>
        <v>0</v>
      </c>
      <c r="M12" s="107">
        <f t="shared" ref="M12:M30" si="2">K12*L12</f>
        <v>0</v>
      </c>
      <c r="N12" s="101"/>
      <c r="O12" s="101"/>
      <c r="P12" s="101"/>
      <c r="Q12" s="101"/>
      <c r="R12" s="101"/>
      <c r="S12" s="101"/>
    </row>
    <row r="13" spans="1:19" ht="15" customHeight="1">
      <c r="A13" s="66" t="s">
        <v>206</v>
      </c>
      <c r="B13" s="67"/>
      <c r="C13" s="69"/>
      <c r="D13" s="67"/>
      <c r="E13" s="89"/>
      <c r="F13" s="90"/>
      <c r="G13" s="87">
        <f t="shared" si="0"/>
        <v>0</v>
      </c>
      <c r="H13" s="88" t="str">
        <f t="shared" si="1"/>
        <v/>
      </c>
      <c r="I13" s="67"/>
      <c r="J13" s="67"/>
      <c r="K13" s="87"/>
      <c r="L13" s="98">
        <f>IF(A13="","",IF(F13=1,1,IF(E13&gt;=K13,F13,MROUND(((E13*F13+(K13-E13)*水尺计算初次!$L$25)/K13),0.0005))))</f>
        <v>0</v>
      </c>
      <c r="M13" s="107">
        <f t="shared" si="2"/>
        <v>0</v>
      </c>
      <c r="N13" s="524" t="s">
        <v>207</v>
      </c>
      <c r="O13" s="525"/>
      <c r="P13" s="525"/>
      <c r="Q13" s="525"/>
      <c r="R13" s="525"/>
      <c r="S13" s="101"/>
    </row>
    <row r="14" spans="1:19" ht="15" customHeight="1">
      <c r="A14" s="66" t="s">
        <v>208</v>
      </c>
      <c r="B14" s="67"/>
      <c r="C14" s="69"/>
      <c r="D14" s="67"/>
      <c r="E14" s="89"/>
      <c r="F14" s="90"/>
      <c r="G14" s="87">
        <f t="shared" si="0"/>
        <v>0</v>
      </c>
      <c r="H14" s="88" t="str">
        <f t="shared" si="1"/>
        <v/>
      </c>
      <c r="I14" s="67"/>
      <c r="J14" s="67"/>
      <c r="K14" s="87"/>
      <c r="L14" s="98">
        <f>IF(A14="","",IF(F14=1,1,IF(E14&gt;=K14,F14,MROUND(((E14*F14+(K14-E14)*水尺计算初次!$L$25)/K14),0.0005))))</f>
        <v>0</v>
      </c>
      <c r="M14" s="107">
        <f t="shared" si="2"/>
        <v>0</v>
      </c>
      <c r="N14" s="524"/>
      <c r="O14" s="525"/>
      <c r="P14" s="525"/>
      <c r="Q14" s="525"/>
      <c r="R14" s="525"/>
      <c r="S14" s="101"/>
    </row>
    <row r="15" spans="1:19" ht="15" customHeight="1">
      <c r="A15" s="66" t="s">
        <v>209</v>
      </c>
      <c r="B15" s="67"/>
      <c r="C15" s="69"/>
      <c r="D15" s="67"/>
      <c r="E15" s="89"/>
      <c r="F15" s="90"/>
      <c r="G15" s="87">
        <f t="shared" si="0"/>
        <v>0</v>
      </c>
      <c r="H15" s="88" t="str">
        <f t="shared" si="1"/>
        <v/>
      </c>
      <c r="I15" s="67"/>
      <c r="J15" s="67"/>
      <c r="K15" s="87"/>
      <c r="L15" s="98">
        <f>IF(A15="","",IF(F15=1,1,IF(E15&gt;=K15,F15,MROUND(((E15*F15+(K15-E15)*水尺计算初次!$L$25)/K15),0.0005))))</f>
        <v>0</v>
      </c>
      <c r="M15" s="107">
        <f t="shared" si="2"/>
        <v>0</v>
      </c>
      <c r="N15" s="101"/>
      <c r="O15" s="101"/>
      <c r="P15" s="101"/>
      <c r="Q15" s="101"/>
      <c r="R15" s="101"/>
      <c r="S15" s="101"/>
    </row>
    <row r="16" spans="1:19" ht="15" customHeight="1">
      <c r="A16" s="66" t="s">
        <v>210</v>
      </c>
      <c r="B16" s="67"/>
      <c r="C16" s="69"/>
      <c r="D16" s="67"/>
      <c r="E16" s="89"/>
      <c r="F16" s="90"/>
      <c r="G16" s="87">
        <f t="shared" si="0"/>
        <v>0</v>
      </c>
      <c r="H16" s="88" t="str">
        <f t="shared" si="1"/>
        <v/>
      </c>
      <c r="I16" s="67"/>
      <c r="J16" s="67"/>
      <c r="K16" s="87"/>
      <c r="L16" s="98">
        <f>IF(A16="","",IF(F16=1,1,IF(E16&gt;=K16,F16,MROUND(((E16*F16+(K16-E16)*水尺计算初次!$L$25)/K16),0.0005))))</f>
        <v>0</v>
      </c>
      <c r="M16" s="107">
        <f t="shared" si="2"/>
        <v>0</v>
      </c>
      <c r="N16" s="101"/>
      <c r="O16" s="101"/>
      <c r="P16" s="101"/>
      <c r="Q16" s="101"/>
      <c r="R16" s="101"/>
      <c r="S16" s="101"/>
    </row>
    <row r="17" spans="1:19" ht="15" customHeight="1">
      <c r="A17" s="66" t="s">
        <v>211</v>
      </c>
      <c r="B17" s="67"/>
      <c r="C17" s="69"/>
      <c r="D17" s="67"/>
      <c r="E17" s="89"/>
      <c r="F17" s="90"/>
      <c r="G17" s="87">
        <f t="shared" si="0"/>
        <v>0</v>
      </c>
      <c r="H17" s="88" t="str">
        <f t="shared" si="1"/>
        <v/>
      </c>
      <c r="I17" s="67"/>
      <c r="J17" s="67"/>
      <c r="K17" s="87"/>
      <c r="L17" s="98">
        <f>IF(A17="","",IF(F17=1,1,IF(E17&gt;=K17,F17,MROUND(((E17*F17+(K17-E17)*水尺计算初次!$L$25)/K17),0.0005))))</f>
        <v>0</v>
      </c>
      <c r="M17" s="107">
        <f t="shared" si="2"/>
        <v>0</v>
      </c>
      <c r="N17" s="101"/>
      <c r="O17" s="101"/>
      <c r="P17" s="101"/>
      <c r="Q17" s="101"/>
      <c r="R17" s="101"/>
      <c r="S17" s="101"/>
    </row>
    <row r="18" spans="1:19" ht="15" customHeight="1">
      <c r="A18" s="66" t="s">
        <v>212</v>
      </c>
      <c r="B18" s="67"/>
      <c r="C18" s="69"/>
      <c r="D18" s="67"/>
      <c r="E18" s="89"/>
      <c r="F18" s="90"/>
      <c r="G18" s="87">
        <f t="shared" si="0"/>
        <v>0</v>
      </c>
      <c r="H18" s="88" t="str">
        <f t="shared" si="1"/>
        <v/>
      </c>
      <c r="I18" s="67"/>
      <c r="J18" s="67"/>
      <c r="K18" s="87"/>
      <c r="L18" s="98">
        <f>IF(A18="","",IF(F18=1,1,IF(E18&gt;=K18,F18,MROUND(((E18*F18+(K18-E18)*水尺计算初次!$L$25)/K18),0.0005))))</f>
        <v>0</v>
      </c>
      <c r="M18" s="107">
        <f t="shared" si="2"/>
        <v>0</v>
      </c>
      <c r="N18" s="101"/>
      <c r="O18" s="101"/>
      <c r="P18" s="101"/>
      <c r="Q18" s="101"/>
      <c r="R18" s="101"/>
      <c r="S18" s="101"/>
    </row>
    <row r="19" spans="1:19" ht="15" customHeight="1">
      <c r="A19" s="66" t="s">
        <v>213</v>
      </c>
      <c r="B19" s="67"/>
      <c r="C19" s="69"/>
      <c r="D19" s="67"/>
      <c r="E19" s="89"/>
      <c r="F19" s="90"/>
      <c r="G19" s="87">
        <f t="shared" si="0"/>
        <v>0</v>
      </c>
      <c r="H19" s="88" t="str">
        <f t="shared" si="1"/>
        <v/>
      </c>
      <c r="I19" s="67"/>
      <c r="J19" s="67"/>
      <c r="K19" s="87"/>
      <c r="L19" s="98">
        <f>IF(A19="","",IF(F19=1,1,IF(E19&gt;=K19,F19,MROUND(((E19*F19+(K19-E19)*水尺计算初次!$L$25)/K19),0.0005))))</f>
        <v>0</v>
      </c>
      <c r="M19" s="107">
        <f t="shared" si="2"/>
        <v>0</v>
      </c>
      <c r="N19" s="101"/>
      <c r="O19" s="101"/>
      <c r="P19" s="101"/>
      <c r="Q19" s="101"/>
      <c r="R19" s="101"/>
      <c r="S19" s="101"/>
    </row>
    <row r="20" spans="1:19" ht="15" customHeight="1">
      <c r="A20" s="66" t="s">
        <v>214</v>
      </c>
      <c r="B20" s="67"/>
      <c r="C20" s="69"/>
      <c r="D20" s="67"/>
      <c r="E20" s="89"/>
      <c r="F20" s="90"/>
      <c r="G20" s="87">
        <f t="shared" si="0"/>
        <v>0</v>
      </c>
      <c r="H20" s="88" t="str">
        <f t="shared" si="1"/>
        <v/>
      </c>
      <c r="I20" s="67"/>
      <c r="J20" s="67"/>
      <c r="K20" s="87"/>
      <c r="L20" s="98">
        <f>IF(A20="","",IF(F20=1,1,IF(E20&gt;=K20,F20,MROUND(((E20*F20+(K20-E20)*水尺计算初次!$L$25)/K20),0.0005))))</f>
        <v>0</v>
      </c>
      <c r="M20" s="107">
        <f t="shared" si="2"/>
        <v>0</v>
      </c>
      <c r="N20" s="101"/>
      <c r="O20" s="101"/>
      <c r="P20" s="101"/>
      <c r="Q20" s="101"/>
      <c r="R20" s="101"/>
      <c r="S20" s="101"/>
    </row>
    <row r="21" spans="1:19" ht="15" customHeight="1">
      <c r="A21" s="66" t="s">
        <v>215</v>
      </c>
      <c r="B21" s="67"/>
      <c r="C21" s="69"/>
      <c r="D21" s="67"/>
      <c r="E21" s="89"/>
      <c r="F21" s="90"/>
      <c r="G21" s="87">
        <f t="shared" si="0"/>
        <v>0</v>
      </c>
      <c r="H21" s="88" t="str">
        <f t="shared" si="1"/>
        <v/>
      </c>
      <c r="I21" s="67"/>
      <c r="J21" s="67"/>
      <c r="K21" s="87"/>
      <c r="L21" s="98">
        <f>IF(A21="","",IF(F21=1,1,IF(E21&gt;=K21,F21,MROUND(((E21*F21+(K21-E21)*水尺计算初次!$L$25)/K21),0.0005))))</f>
        <v>0</v>
      </c>
      <c r="M21" s="107">
        <f t="shared" si="2"/>
        <v>0</v>
      </c>
      <c r="N21" s="101"/>
      <c r="O21" s="101"/>
      <c r="P21" s="101"/>
      <c r="Q21" s="101"/>
      <c r="R21" s="101"/>
      <c r="S21" s="101"/>
    </row>
    <row r="22" spans="1:19" ht="15" customHeight="1">
      <c r="A22" s="66" t="s">
        <v>216</v>
      </c>
      <c r="B22" s="67"/>
      <c r="C22" s="69"/>
      <c r="D22" s="67"/>
      <c r="E22" s="89"/>
      <c r="F22" s="90"/>
      <c r="G22" s="87">
        <f t="shared" si="0"/>
        <v>0</v>
      </c>
      <c r="H22" s="88" t="str">
        <f t="shared" si="1"/>
        <v/>
      </c>
      <c r="I22" s="67"/>
      <c r="J22" s="67"/>
      <c r="K22" s="87"/>
      <c r="L22" s="98">
        <f>IF(A22="","",IF(F22=1,1,IF(E22&gt;=K22,F22,MROUND(((E22*F22+(K22-E22)*水尺计算初次!$L$25)/K22),0.0005))))</f>
        <v>0</v>
      </c>
      <c r="M22" s="107">
        <f t="shared" si="2"/>
        <v>0</v>
      </c>
      <c r="N22" s="101"/>
      <c r="O22" s="101"/>
      <c r="P22" s="101"/>
      <c r="Q22" s="101"/>
      <c r="R22" s="101"/>
      <c r="S22" s="101"/>
    </row>
    <row r="23" spans="1:19" ht="15" customHeight="1">
      <c r="A23" s="66" t="s">
        <v>217</v>
      </c>
      <c r="B23" s="67"/>
      <c r="C23" s="69"/>
      <c r="D23" s="67"/>
      <c r="E23" s="89"/>
      <c r="F23" s="90"/>
      <c r="G23" s="87">
        <f t="shared" si="0"/>
        <v>0</v>
      </c>
      <c r="H23" s="88" t="str">
        <f t="shared" si="1"/>
        <v/>
      </c>
      <c r="I23" s="67"/>
      <c r="J23" s="67"/>
      <c r="K23" s="87"/>
      <c r="L23" s="98">
        <f>IF(A23="","",IF(F23=1,1,IF(E23&gt;=K23,F23,MROUND(((E23*F23+(K23-E23)*水尺计算初次!$L$25)/K23),0.0005))))</f>
        <v>0</v>
      </c>
      <c r="M23" s="107">
        <f t="shared" si="2"/>
        <v>0</v>
      </c>
      <c r="N23" s="101"/>
      <c r="O23" s="101"/>
      <c r="P23" s="101"/>
      <c r="Q23" s="101"/>
      <c r="R23" s="101"/>
      <c r="S23" s="101"/>
    </row>
    <row r="24" spans="1:19" ht="15" customHeight="1">
      <c r="A24" s="66" t="s">
        <v>218</v>
      </c>
      <c r="B24" s="67"/>
      <c r="C24" s="69"/>
      <c r="D24" s="67"/>
      <c r="E24" s="89"/>
      <c r="F24" s="90"/>
      <c r="G24" s="87">
        <f t="shared" si="0"/>
        <v>0</v>
      </c>
      <c r="H24" s="88" t="str">
        <f t="shared" si="1"/>
        <v/>
      </c>
      <c r="I24" s="67"/>
      <c r="J24" s="67"/>
      <c r="K24" s="87"/>
      <c r="L24" s="98">
        <f>IF(A24="","",IF(F24=1,1,IF(E24&gt;=K24,F24,MROUND(((E24*F24+(K24-E24)*水尺计算初次!$L$25)/K24),0.0005))))</f>
        <v>0</v>
      </c>
      <c r="M24" s="107">
        <f t="shared" si="2"/>
        <v>0</v>
      </c>
      <c r="N24" s="101"/>
      <c r="O24" s="101"/>
      <c r="P24" s="101"/>
      <c r="Q24" s="101"/>
      <c r="R24" s="101"/>
      <c r="S24" s="101"/>
    </row>
    <row r="25" spans="1:19" ht="15" customHeight="1">
      <c r="A25" s="66" t="s">
        <v>219</v>
      </c>
      <c r="B25" s="67"/>
      <c r="C25" s="69"/>
      <c r="D25" s="67"/>
      <c r="E25" s="89"/>
      <c r="F25" s="90"/>
      <c r="G25" s="87">
        <f t="shared" si="0"/>
        <v>0</v>
      </c>
      <c r="H25" s="88" t="str">
        <f t="shared" si="1"/>
        <v/>
      </c>
      <c r="I25" s="67"/>
      <c r="J25" s="67"/>
      <c r="K25" s="87"/>
      <c r="L25" s="98">
        <f>IF(A25="","",IF(F25=1,1,IF(E25&gt;=K25,F25,MROUND(((E25*F25+(K25-E25)*水尺计算初次!$L$25)/K25),0.0005))))</f>
        <v>0</v>
      </c>
      <c r="M25" s="107">
        <f t="shared" si="2"/>
        <v>0</v>
      </c>
      <c r="N25" s="101"/>
      <c r="O25" s="101"/>
      <c r="P25" s="101"/>
      <c r="Q25" s="101"/>
      <c r="R25" s="101"/>
      <c r="S25" s="101"/>
    </row>
    <row r="26" spans="1:19" ht="15" customHeight="1">
      <c r="A26" s="66" t="s">
        <v>220</v>
      </c>
      <c r="B26" s="67"/>
      <c r="C26" s="69"/>
      <c r="D26" s="67"/>
      <c r="E26" s="89"/>
      <c r="F26" s="90"/>
      <c r="G26" s="87">
        <f t="shared" si="0"/>
        <v>0</v>
      </c>
      <c r="H26" s="88" t="str">
        <f t="shared" si="1"/>
        <v/>
      </c>
      <c r="I26" s="67"/>
      <c r="J26" s="67"/>
      <c r="K26" s="87"/>
      <c r="L26" s="98">
        <f>IF(A26="","",IF(F26=1,1,IF(E26&gt;=K26,F26,MROUND(((E26*F26+(K26-E26)*水尺计算初次!$L$25)/K26),0.0005))))</f>
        <v>0</v>
      </c>
      <c r="M26" s="107">
        <f t="shared" si="2"/>
        <v>0</v>
      </c>
      <c r="N26" s="101"/>
      <c r="O26" s="101"/>
      <c r="P26" s="101"/>
      <c r="Q26" s="101"/>
      <c r="R26" s="101"/>
      <c r="S26" s="101"/>
    </row>
    <row r="27" spans="1:19" ht="15" customHeight="1">
      <c r="A27" s="66" t="s">
        <v>221</v>
      </c>
      <c r="B27" s="67"/>
      <c r="C27" s="69"/>
      <c r="D27" s="67"/>
      <c r="E27" s="89"/>
      <c r="F27" s="90"/>
      <c r="G27" s="87">
        <f t="shared" si="0"/>
        <v>0</v>
      </c>
      <c r="H27" s="88" t="str">
        <f t="shared" si="1"/>
        <v/>
      </c>
      <c r="I27" s="67"/>
      <c r="J27" s="67"/>
      <c r="K27" s="87"/>
      <c r="L27" s="98">
        <f>IF(A27="","",IF(F27=1,1,IF(E27&gt;=K27,F27,MROUND(((E27*F27+(K27-E27)*水尺计算初次!$L$25)/K27),0.0005))))</f>
        <v>0</v>
      </c>
      <c r="M27" s="107">
        <f t="shared" si="2"/>
        <v>0</v>
      </c>
      <c r="N27" s="101"/>
      <c r="O27" s="101"/>
      <c r="P27" s="101"/>
      <c r="Q27" s="101"/>
      <c r="R27" s="101"/>
      <c r="S27" s="101"/>
    </row>
    <row r="28" spans="1:19" ht="15" customHeight="1">
      <c r="A28" s="66" t="s">
        <v>222</v>
      </c>
      <c r="B28" s="67"/>
      <c r="C28" s="69"/>
      <c r="D28" s="67"/>
      <c r="E28" s="89"/>
      <c r="F28" s="90"/>
      <c r="G28" s="87">
        <f t="shared" si="0"/>
        <v>0</v>
      </c>
      <c r="H28" s="88" t="str">
        <f t="shared" si="1"/>
        <v/>
      </c>
      <c r="I28" s="67"/>
      <c r="J28" s="67"/>
      <c r="K28" s="87"/>
      <c r="L28" s="98">
        <f>IF(A28="","",IF(F28=1,1,IF(E28&gt;=K28,F28,MROUND(((E28*F28+(K28-E28)*水尺计算初次!$L$25)/K28),0.0005))))</f>
        <v>0</v>
      </c>
      <c r="M28" s="107">
        <f t="shared" si="2"/>
        <v>0</v>
      </c>
      <c r="N28" s="101"/>
      <c r="O28" s="101"/>
      <c r="P28" s="101"/>
      <c r="Q28" s="101"/>
      <c r="R28" s="101"/>
      <c r="S28" s="101"/>
    </row>
    <row r="29" spans="1:19" ht="15" customHeight="1">
      <c r="A29" s="66" t="s">
        <v>223</v>
      </c>
      <c r="B29" s="67"/>
      <c r="C29" s="69"/>
      <c r="D29" s="67"/>
      <c r="E29" s="89"/>
      <c r="F29" s="90"/>
      <c r="G29" s="87">
        <f t="shared" si="0"/>
        <v>0</v>
      </c>
      <c r="H29" s="88" t="str">
        <f t="shared" si="1"/>
        <v/>
      </c>
      <c r="I29" s="67"/>
      <c r="J29" s="67"/>
      <c r="K29" s="87"/>
      <c r="L29" s="98">
        <f>IF(A29="","",IF(F29=1,1,IF(E29&gt;=K29,F29,MROUND(((E29*F29+(K29-E29)*水尺计算初次!$L$25)/K29),0.0005))))</f>
        <v>0</v>
      </c>
      <c r="M29" s="107">
        <f t="shared" si="2"/>
        <v>0</v>
      </c>
      <c r="N29" s="101"/>
      <c r="O29" s="101"/>
      <c r="P29" s="101"/>
      <c r="Q29" s="101"/>
      <c r="R29" s="101"/>
      <c r="S29" s="101"/>
    </row>
    <row r="30" spans="1:19" ht="15" customHeight="1">
      <c r="A30" s="66" t="s">
        <v>224</v>
      </c>
      <c r="B30" s="67"/>
      <c r="C30" s="69"/>
      <c r="D30" s="67"/>
      <c r="E30" s="89"/>
      <c r="F30" s="90"/>
      <c r="G30" s="87">
        <f t="shared" si="0"/>
        <v>0</v>
      </c>
      <c r="H30" s="88" t="str">
        <f t="shared" si="1"/>
        <v/>
      </c>
      <c r="I30" s="67"/>
      <c r="J30" s="67"/>
      <c r="K30" s="87"/>
      <c r="L30" s="98">
        <f>IF(A30="","",IF(F30=1,1,IF(E30&gt;=K30,F30,MROUND(((E30*F30+(K30-E30)*水尺计算初次!$L$25)/K30),0.0005))))</f>
        <v>0</v>
      </c>
      <c r="M30" s="107">
        <f t="shared" si="2"/>
        <v>0</v>
      </c>
      <c r="N30" s="101"/>
      <c r="O30" s="101"/>
      <c r="P30" s="101"/>
      <c r="Q30" s="101"/>
      <c r="R30" s="101"/>
      <c r="S30" s="101"/>
    </row>
    <row r="31" spans="1:19" ht="15" customHeight="1">
      <c r="A31" s="66"/>
      <c r="B31" s="67"/>
      <c r="C31" s="69"/>
      <c r="D31" s="67"/>
      <c r="E31" s="89"/>
      <c r="F31" s="90"/>
      <c r="G31" s="87"/>
      <c r="H31" s="88"/>
      <c r="I31" s="67"/>
      <c r="J31" s="67"/>
      <c r="K31" s="87"/>
      <c r="L31" s="98"/>
      <c r="M31" s="107"/>
      <c r="N31" s="101"/>
      <c r="O31" s="101"/>
      <c r="P31" s="101"/>
      <c r="Q31" s="101"/>
      <c r="R31" s="101"/>
      <c r="S31" s="101"/>
    </row>
    <row r="32" spans="1:19" ht="15" customHeight="1">
      <c r="A32" s="66"/>
      <c r="B32" s="68" t="s">
        <v>225</v>
      </c>
      <c r="C32" s="69"/>
      <c r="D32" s="67"/>
      <c r="E32" s="89"/>
      <c r="F32" s="90"/>
      <c r="G32" s="87"/>
      <c r="H32" s="88"/>
      <c r="I32" s="67"/>
      <c r="J32" s="67"/>
      <c r="K32" s="87"/>
      <c r="L32" s="98"/>
      <c r="M32" s="107"/>
      <c r="N32" s="101"/>
      <c r="O32" s="101"/>
      <c r="P32" s="101"/>
      <c r="Q32" s="101"/>
      <c r="R32" s="101"/>
      <c r="S32" s="101"/>
    </row>
    <row r="33" spans="1:19" ht="15" customHeight="1">
      <c r="A33" s="66"/>
      <c r="B33" s="67"/>
      <c r="C33" s="69"/>
      <c r="D33" s="67"/>
      <c r="E33" s="89"/>
      <c r="F33" s="90"/>
      <c r="G33" s="87"/>
      <c r="H33" s="88"/>
      <c r="I33" s="67"/>
      <c r="J33" s="67"/>
      <c r="K33" s="87"/>
      <c r="L33" s="98"/>
      <c r="M33" s="107"/>
      <c r="N33" s="101"/>
      <c r="O33" s="101"/>
      <c r="P33" s="101"/>
      <c r="Q33" s="101"/>
      <c r="R33" s="101"/>
      <c r="S33" s="101"/>
    </row>
    <row r="34" spans="1:19" ht="15" customHeight="1">
      <c r="A34" s="66"/>
      <c r="B34" s="67"/>
      <c r="C34" s="69"/>
      <c r="D34" s="67"/>
      <c r="E34" s="89"/>
      <c r="F34" s="90"/>
      <c r="G34" s="87"/>
      <c r="H34" s="88"/>
      <c r="I34" s="67"/>
      <c r="J34" s="67"/>
      <c r="K34" s="87"/>
      <c r="L34" s="98"/>
      <c r="M34" s="107"/>
      <c r="N34" s="101"/>
      <c r="O34" s="101"/>
      <c r="P34" s="101"/>
      <c r="Q34" s="101"/>
      <c r="R34" s="101"/>
      <c r="S34" s="101"/>
    </row>
    <row r="35" spans="1:19" ht="15" customHeight="1">
      <c r="A35" s="66"/>
      <c r="B35" s="67"/>
      <c r="C35" s="69"/>
      <c r="D35" s="67"/>
      <c r="E35" s="89"/>
      <c r="F35" s="90"/>
      <c r="G35" s="87"/>
      <c r="H35" s="88"/>
      <c r="I35" s="67"/>
      <c r="J35" s="67"/>
      <c r="K35" s="67"/>
      <c r="L35" s="98"/>
      <c r="M35" s="107"/>
      <c r="N35" s="101"/>
      <c r="O35" s="101"/>
      <c r="P35" s="101"/>
      <c r="Q35" s="101"/>
      <c r="R35" s="101"/>
      <c r="S35" s="101"/>
    </row>
    <row r="36" spans="1:19" ht="15" customHeight="1">
      <c r="A36" s="70" t="s">
        <v>226</v>
      </c>
      <c r="B36" s="71"/>
      <c r="C36" s="72"/>
      <c r="D36" s="71"/>
      <c r="E36" s="71"/>
      <c r="F36" s="71"/>
      <c r="G36" s="91" t="e">
        <f>SUM(G11:G35)</f>
        <v>#VALUE!</v>
      </c>
      <c r="H36" s="92"/>
      <c r="I36" s="71"/>
      <c r="J36" s="71"/>
      <c r="K36" s="71"/>
      <c r="L36" s="71"/>
      <c r="M36" s="109" t="e">
        <f>SUM(M11:M35)</f>
        <v>#VALUE!</v>
      </c>
      <c r="N36" s="101"/>
      <c r="O36" s="101"/>
      <c r="P36" s="101"/>
      <c r="Q36" s="101"/>
      <c r="R36" s="101"/>
      <c r="S36" s="101"/>
    </row>
    <row r="37" spans="1:19" ht="15" customHeight="1">
      <c r="A37" s="73" t="s">
        <v>227</v>
      </c>
      <c r="B37" s="71"/>
      <c r="C37" s="72"/>
      <c r="D37" s="71"/>
      <c r="E37" s="93"/>
      <c r="F37" s="71"/>
      <c r="G37" s="94" t="s">
        <v>228</v>
      </c>
      <c r="H37" s="71" t="str">
        <f>IF(B37="","",B37)</f>
        <v/>
      </c>
      <c r="I37" s="71"/>
      <c r="J37" s="71"/>
      <c r="K37" s="71"/>
      <c r="L37" s="71"/>
      <c r="M37" s="94" t="s">
        <v>229</v>
      </c>
      <c r="N37" s="101"/>
      <c r="O37" s="101"/>
      <c r="P37" s="101"/>
      <c r="Q37" s="101"/>
      <c r="R37" s="101"/>
      <c r="S37" s="101"/>
    </row>
    <row r="38" spans="1:19" ht="15" customHeight="1">
      <c r="A38" s="74" t="s">
        <v>230</v>
      </c>
      <c r="B38" s="71"/>
      <c r="C38" s="71"/>
      <c r="D38" s="71"/>
      <c r="E38" s="93"/>
      <c r="F38" s="71"/>
      <c r="G38" s="95" t="s">
        <v>231</v>
      </c>
      <c r="H38" s="71" t="str">
        <f>IF(B38="","",B38)</f>
        <v/>
      </c>
      <c r="I38" s="71"/>
      <c r="J38" s="71"/>
      <c r="K38" s="71"/>
      <c r="L38" s="71"/>
      <c r="M38" s="95" t="s">
        <v>232</v>
      </c>
      <c r="N38" s="101"/>
      <c r="O38" s="101"/>
      <c r="P38" s="101"/>
      <c r="Q38" s="101"/>
      <c r="R38" s="101"/>
      <c r="S38" s="101"/>
    </row>
    <row r="39" spans="1:19" ht="15" customHeight="1">
      <c r="A39" s="74"/>
      <c r="B39" s="71"/>
      <c r="C39" s="71"/>
      <c r="D39" s="71"/>
      <c r="E39" s="93"/>
      <c r="F39" s="71"/>
      <c r="G39" s="95"/>
      <c r="H39" s="93"/>
      <c r="I39" s="99"/>
      <c r="J39" s="100"/>
      <c r="K39" s="93"/>
      <c r="L39" s="99"/>
      <c r="M39" s="110"/>
      <c r="N39" s="101"/>
      <c r="O39" s="101"/>
      <c r="P39" s="101"/>
      <c r="Q39" s="101"/>
      <c r="R39" s="101"/>
      <c r="S39" s="101"/>
    </row>
    <row r="40" spans="1:19" ht="15" customHeight="1">
      <c r="A40" s="71" t="s">
        <v>226</v>
      </c>
      <c r="B40" s="71"/>
      <c r="C40" s="71"/>
      <c r="D40" s="71"/>
      <c r="E40" s="93"/>
      <c r="F40" s="71"/>
      <c r="G40" s="71">
        <f>SUM(G37:G39)</f>
        <v>0</v>
      </c>
      <c r="H40" s="93"/>
      <c r="I40" s="99"/>
      <c r="J40" s="100"/>
      <c r="K40" s="93"/>
      <c r="L40" s="99"/>
      <c r="M40" s="71">
        <f>SUM(M37:M39)</f>
        <v>0</v>
      </c>
      <c r="N40" s="101"/>
      <c r="O40" s="101"/>
      <c r="P40" s="101"/>
      <c r="Q40" s="101"/>
      <c r="R40" s="101"/>
      <c r="S40" s="101"/>
    </row>
    <row r="41" spans="1:19" ht="15" customHeight="1">
      <c r="A41" s="522"/>
      <c r="B41" s="485" t="s">
        <v>233</v>
      </c>
      <c r="C41" s="485"/>
      <c r="D41" s="485"/>
      <c r="E41" s="485" t="s">
        <v>234</v>
      </c>
      <c r="F41" s="486"/>
      <c r="G41" s="486"/>
      <c r="H41" s="487" t="s">
        <v>233</v>
      </c>
      <c r="I41" s="488"/>
      <c r="J41" s="489"/>
      <c r="K41" s="487" t="s">
        <v>235</v>
      </c>
      <c r="L41" s="488"/>
      <c r="M41" s="489"/>
      <c r="N41" s="101"/>
      <c r="O41" s="101"/>
      <c r="P41" s="101"/>
      <c r="Q41" s="101"/>
      <c r="R41" s="101"/>
      <c r="S41" s="101"/>
    </row>
    <row r="42" spans="1:19" ht="17.25" customHeight="1">
      <c r="A42" s="522"/>
      <c r="B42" s="490" t="e">
        <f>G36+B99</f>
        <v>#VALUE!</v>
      </c>
      <c r="C42" s="490"/>
      <c r="D42" s="490"/>
      <c r="E42" s="490">
        <f>G40</f>
        <v>0</v>
      </c>
      <c r="F42" s="490"/>
      <c r="G42" s="490"/>
      <c r="H42" s="491" t="e">
        <f>M36</f>
        <v>#VALUE!</v>
      </c>
      <c r="I42" s="492"/>
      <c r="J42" s="493"/>
      <c r="K42" s="494">
        <f>M40</f>
        <v>0</v>
      </c>
      <c r="L42" s="495"/>
      <c r="M42" s="496"/>
      <c r="N42" s="101"/>
      <c r="O42" s="101"/>
      <c r="P42" s="101"/>
      <c r="Q42" s="101"/>
      <c r="R42" s="101"/>
      <c r="S42" s="101"/>
    </row>
    <row r="43" spans="1:19">
      <c r="A43" s="497" t="s">
        <v>236</v>
      </c>
      <c r="B43" s="498"/>
      <c r="C43" s="498"/>
      <c r="D43" s="498"/>
      <c r="E43" s="498"/>
      <c r="F43" s="498"/>
      <c r="G43" s="498"/>
      <c r="H43" s="498"/>
      <c r="I43" s="498"/>
      <c r="J43" s="498"/>
      <c r="K43" s="498"/>
      <c r="L43" s="498"/>
      <c r="M43" s="498"/>
      <c r="N43" s="101"/>
      <c r="O43" s="101"/>
      <c r="P43" s="101"/>
      <c r="Q43" s="101"/>
      <c r="R43" s="101"/>
      <c r="S43" s="101"/>
    </row>
    <row r="44" spans="1:19">
      <c r="A44" s="499"/>
      <c r="B44" s="500"/>
      <c r="C44" s="500"/>
      <c r="D44" s="500"/>
      <c r="E44" s="500"/>
      <c r="F44" s="500"/>
      <c r="G44" s="500"/>
      <c r="H44" s="500"/>
      <c r="I44" s="500"/>
      <c r="J44" s="500"/>
      <c r="K44" s="500"/>
      <c r="L44" s="500"/>
      <c r="M44" s="500"/>
    </row>
    <row r="45" spans="1:19">
      <c r="A45" s="501"/>
      <c r="B45" s="501"/>
      <c r="C45" s="501"/>
      <c r="D45" s="501"/>
      <c r="E45" s="501"/>
      <c r="F45" s="501"/>
      <c r="G45" s="501"/>
      <c r="H45" s="501"/>
      <c r="I45" s="501"/>
      <c r="J45" s="501"/>
      <c r="K45" s="501"/>
      <c r="L45" s="501"/>
      <c r="M45" s="501"/>
    </row>
    <row r="46" spans="1:19" ht="8.25" customHeight="1">
      <c r="A46" s="75"/>
    </row>
    <row r="47" spans="1:19" ht="15.75" customHeight="1">
      <c r="A47" s="501" t="s">
        <v>237</v>
      </c>
      <c r="B47" s="501"/>
      <c r="C47" s="501"/>
      <c r="D47" s="501"/>
      <c r="E47" s="501"/>
      <c r="F47" s="501"/>
      <c r="G47" s="501"/>
      <c r="H47" s="501"/>
      <c r="I47" s="501"/>
      <c r="J47" s="501"/>
      <c r="K47" s="501"/>
      <c r="L47" s="501"/>
      <c r="M47" s="501"/>
    </row>
    <row r="49" spans="1:13" ht="9.75" customHeight="1"/>
    <row r="53" spans="1:13">
      <c r="A53" s="526" t="s">
        <v>238</v>
      </c>
      <c r="B53" s="527"/>
      <c r="C53" s="527"/>
      <c r="D53" s="527"/>
      <c r="E53" s="527"/>
      <c r="F53" s="527"/>
      <c r="G53" s="527"/>
      <c r="H53" s="527"/>
      <c r="I53" s="527"/>
      <c r="J53" s="527"/>
      <c r="K53" s="527"/>
      <c r="L53" s="527"/>
      <c r="M53" s="527"/>
    </row>
    <row r="54" spans="1:13">
      <c r="A54" s="527"/>
      <c r="B54" s="527"/>
      <c r="C54" s="527"/>
      <c r="D54" s="527"/>
      <c r="E54" s="527"/>
      <c r="F54" s="527"/>
      <c r="G54" s="527"/>
      <c r="H54" s="527"/>
      <c r="I54" s="527"/>
      <c r="J54" s="527"/>
      <c r="K54" s="527"/>
      <c r="L54" s="527"/>
      <c r="M54" s="527"/>
    </row>
    <row r="58" spans="1:13">
      <c r="A58" s="76"/>
      <c r="B58" s="502" t="s">
        <v>178</v>
      </c>
      <c r="C58" s="502"/>
      <c r="D58" s="502"/>
      <c r="E58" s="502"/>
      <c r="F58" s="502"/>
      <c r="G58" s="502"/>
      <c r="H58" s="502"/>
      <c r="I58" s="503" t="s">
        <v>179</v>
      </c>
      <c r="J58" s="503"/>
      <c r="K58" s="503"/>
      <c r="L58" s="503"/>
      <c r="M58" s="503"/>
    </row>
    <row r="59" spans="1:13">
      <c r="A59" s="76"/>
      <c r="B59" s="504" t="s">
        <v>2</v>
      </c>
      <c r="C59" s="504"/>
      <c r="D59" s="504"/>
      <c r="E59" s="504"/>
      <c r="F59" s="504"/>
      <c r="G59" s="504"/>
      <c r="H59" s="504"/>
      <c r="I59" s="504"/>
      <c r="J59" s="504"/>
      <c r="K59" s="504"/>
      <c r="L59" s="504"/>
      <c r="M59" s="504"/>
    </row>
    <row r="60" spans="1:13" ht="16">
      <c r="A60" s="77" t="s">
        <v>180</v>
      </c>
      <c r="B60" s="505" t="s">
        <v>181</v>
      </c>
      <c r="C60" s="505"/>
      <c r="D60" s="505"/>
      <c r="E60" s="505"/>
      <c r="F60" s="505"/>
      <c r="G60" s="505"/>
      <c r="H60" s="505"/>
      <c r="I60" s="505"/>
      <c r="J60" s="505"/>
      <c r="K60" s="505"/>
      <c r="L60" s="362" t="str">
        <f>L3</f>
        <v>32110202104000114</v>
      </c>
      <c r="M60" s="362"/>
    </row>
    <row r="61" spans="1:13" ht="17">
      <c r="A61" s="506" t="s">
        <v>182</v>
      </c>
      <c r="B61" s="506"/>
      <c r="C61" s="506"/>
      <c r="D61" s="506"/>
      <c r="E61" s="506"/>
      <c r="F61" s="506"/>
      <c r="G61" s="506"/>
      <c r="H61" s="506"/>
      <c r="I61" s="506"/>
      <c r="J61" s="506"/>
      <c r="K61" s="506"/>
      <c r="L61" s="506"/>
      <c r="M61" s="506"/>
    </row>
    <row r="62" spans="1:13" ht="16">
      <c r="A62" s="78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</row>
    <row r="63" spans="1:13" ht="16">
      <c r="A63" s="507" t="s">
        <v>183</v>
      </c>
      <c r="B63" s="508"/>
      <c r="C63" s="508"/>
      <c r="D63" s="508"/>
      <c r="E63" s="508"/>
      <c r="F63" s="508"/>
      <c r="G63" s="508"/>
      <c r="H63" s="508"/>
      <c r="I63" s="508"/>
      <c r="J63" s="508"/>
      <c r="K63" s="508"/>
      <c r="L63" s="508"/>
      <c r="M63" s="111">
        <f>M6</f>
        <v>44337</v>
      </c>
    </row>
    <row r="64" spans="1:13" ht="16">
      <c r="A64" s="79"/>
      <c r="B64" s="80" t="s">
        <v>184</v>
      </c>
      <c r="C64" s="509" t="str">
        <f>工作记录单!C7</f>
        <v>MOUNT BOLIVAR</v>
      </c>
      <c r="D64" s="509"/>
      <c r="E64" s="81"/>
      <c r="F64" s="96"/>
      <c r="G64" s="97"/>
      <c r="H64" s="97"/>
      <c r="I64" s="510" t="s">
        <v>185</v>
      </c>
      <c r="J64" s="510"/>
      <c r="K64" s="510"/>
      <c r="L64" s="511"/>
      <c r="M64" s="112">
        <f>M7</f>
        <v>44339</v>
      </c>
    </row>
    <row r="65" spans="1:13">
      <c r="A65" s="512" t="s">
        <v>186</v>
      </c>
      <c r="B65" s="512" t="s">
        <v>187</v>
      </c>
      <c r="C65" s="512"/>
      <c r="D65" s="512"/>
      <c r="E65" s="512"/>
      <c r="F65" s="512"/>
      <c r="G65" s="512"/>
      <c r="H65" s="512" t="s">
        <v>188</v>
      </c>
      <c r="I65" s="512"/>
      <c r="J65" s="512"/>
      <c r="K65" s="512"/>
      <c r="L65" s="512"/>
      <c r="M65" s="512"/>
    </row>
    <row r="66" spans="1:13" ht="16">
      <c r="A66" s="512"/>
      <c r="B66" s="513" t="s">
        <v>189</v>
      </c>
      <c r="C66" s="513"/>
      <c r="D66" s="513"/>
      <c r="E66" s="514" t="e">
        <f>水尺计算初次!C18</f>
        <v>#VALUE!</v>
      </c>
      <c r="F66" s="514"/>
      <c r="G66" s="514"/>
      <c r="H66" s="513" t="s">
        <v>189</v>
      </c>
      <c r="I66" s="513"/>
      <c r="J66" s="513"/>
      <c r="K66" s="515" t="e">
        <f>水尺计算末次!C18</f>
        <v>#VALUE!</v>
      </c>
      <c r="L66" s="515"/>
      <c r="M66" s="515"/>
    </row>
    <row r="67" spans="1:13" ht="26">
      <c r="A67" s="512"/>
      <c r="B67" s="113" t="s">
        <v>190</v>
      </c>
      <c r="C67" s="113" t="s">
        <v>191</v>
      </c>
      <c r="D67" s="113" t="s">
        <v>192</v>
      </c>
      <c r="E67" s="114" t="s">
        <v>193</v>
      </c>
      <c r="F67" s="113" t="s">
        <v>194</v>
      </c>
      <c r="G67" s="115" t="s">
        <v>195</v>
      </c>
      <c r="H67" s="113" t="s">
        <v>190</v>
      </c>
      <c r="I67" s="113" t="s">
        <v>191</v>
      </c>
      <c r="J67" s="113" t="s">
        <v>196</v>
      </c>
      <c r="K67" s="113" t="s">
        <v>193</v>
      </c>
      <c r="L67" s="113" t="s">
        <v>194</v>
      </c>
      <c r="M67" s="117" t="s">
        <v>195</v>
      </c>
    </row>
    <row r="68" spans="1:13">
      <c r="A68" s="66"/>
      <c r="B68" s="67"/>
      <c r="C68" s="69"/>
      <c r="D68" s="67"/>
      <c r="E68" s="116"/>
      <c r="F68" s="90"/>
      <c r="G68" s="87">
        <f>E68*F68</f>
        <v>0</v>
      </c>
      <c r="H68" s="88" t="str">
        <f>IF(B68="","",B68)</f>
        <v/>
      </c>
      <c r="I68" s="67"/>
      <c r="J68" s="67"/>
      <c r="K68" s="67"/>
      <c r="L68" s="98" t="str">
        <f>IF(A68="","",IF(F68=1,1,IF(E68&gt;=K68,F68,MROUND(((E68*F68+(K68-E68)*水尺计算初次!$L$25)/K68),0.0005))))</f>
        <v/>
      </c>
      <c r="M68" s="107" t="e">
        <f>K68*L68</f>
        <v>#VALUE!</v>
      </c>
    </row>
    <row r="69" spans="1:13">
      <c r="A69" s="66"/>
      <c r="B69" s="67"/>
      <c r="C69" s="69"/>
      <c r="D69" s="67"/>
      <c r="E69" s="116"/>
      <c r="F69" s="90"/>
      <c r="G69" s="87">
        <f t="shared" ref="G69:G92" si="3">E69*F69</f>
        <v>0</v>
      </c>
      <c r="H69" s="88" t="str">
        <f t="shared" ref="H69:H92" si="4">IF(B69="","",B69)</f>
        <v/>
      </c>
      <c r="I69" s="67"/>
      <c r="J69" s="67"/>
      <c r="K69" s="67"/>
      <c r="L69" s="98" t="str">
        <f>IF(A69="","",IF(F69=1,1,IF(E69&gt;=K69,F69,MROUND(((E69*F69+(K69-E69)*水尺计算初次!$L$25)/K69),0.0005))))</f>
        <v/>
      </c>
      <c r="M69" s="107">
        <v>0</v>
      </c>
    </row>
    <row r="70" spans="1:13">
      <c r="A70" s="66"/>
      <c r="B70" s="67"/>
      <c r="C70" s="69"/>
      <c r="D70" s="67"/>
      <c r="E70" s="116"/>
      <c r="F70" s="90"/>
      <c r="G70" s="87">
        <f t="shared" si="3"/>
        <v>0</v>
      </c>
      <c r="H70" s="88" t="str">
        <f t="shared" si="4"/>
        <v/>
      </c>
      <c r="I70" s="67"/>
      <c r="J70" s="67"/>
      <c r="K70" s="67"/>
      <c r="L70" s="98" t="str">
        <f>IF(A70="","",IF(F70=1,1,IF(E70&gt;=K70,F70,MROUND(((E70*F70+(K70-E70)*水尺计算初次!$L$25)/K70),0.0005))))</f>
        <v/>
      </c>
      <c r="M70" s="107">
        <v>0</v>
      </c>
    </row>
    <row r="71" spans="1:13">
      <c r="A71" s="66"/>
      <c r="B71" s="67"/>
      <c r="C71" s="69"/>
      <c r="D71" s="67"/>
      <c r="E71" s="116"/>
      <c r="F71" s="90"/>
      <c r="G71" s="87">
        <f t="shared" si="3"/>
        <v>0</v>
      </c>
      <c r="H71" s="88" t="str">
        <f t="shared" si="4"/>
        <v/>
      </c>
      <c r="I71" s="67"/>
      <c r="J71" s="67"/>
      <c r="K71" s="67"/>
      <c r="L71" s="98" t="str">
        <f>IF(A71="","",IF(F71=1,1,IF(E71&gt;=K71,F71,MROUND(((E71*F71+(K71-E71)*水尺计算初次!$L$25)/K71),0.0005))))</f>
        <v/>
      </c>
      <c r="M71" s="107">
        <v>0</v>
      </c>
    </row>
    <row r="72" spans="1:13">
      <c r="A72" s="66"/>
      <c r="B72" s="67"/>
      <c r="C72" s="69"/>
      <c r="D72" s="67"/>
      <c r="E72" s="116"/>
      <c r="F72" s="90"/>
      <c r="G72" s="87">
        <f t="shared" si="3"/>
        <v>0</v>
      </c>
      <c r="H72" s="88" t="str">
        <f t="shared" si="4"/>
        <v/>
      </c>
      <c r="I72" s="67"/>
      <c r="J72" s="67"/>
      <c r="K72" s="67"/>
      <c r="L72" s="98" t="str">
        <f>IF(A72="","",IF(F72=1,1,IF(E72&gt;=K72,F72,MROUND(((E72*F72+(K72-E72)*水尺计算初次!$L$25)/K72),0.0005))))</f>
        <v/>
      </c>
      <c r="M72" s="107">
        <v>0</v>
      </c>
    </row>
    <row r="73" spans="1:13">
      <c r="A73" s="66"/>
      <c r="B73" s="67"/>
      <c r="C73" s="69"/>
      <c r="D73" s="67"/>
      <c r="E73" s="116"/>
      <c r="F73" s="90"/>
      <c r="G73" s="87">
        <f t="shared" si="3"/>
        <v>0</v>
      </c>
      <c r="H73" s="88" t="str">
        <f t="shared" si="4"/>
        <v/>
      </c>
      <c r="I73" s="67"/>
      <c r="J73" s="67"/>
      <c r="K73" s="67"/>
      <c r="L73" s="98" t="str">
        <f>IF(A73="","",IF(F73=1,1,IF(E73&gt;=K73,F73,MROUND(((E73*F73+(K73-E73)*水尺计算初次!$L$25)/K73),0.0005))))</f>
        <v/>
      </c>
      <c r="M73" s="107">
        <v>0</v>
      </c>
    </row>
    <row r="74" spans="1:13">
      <c r="A74" s="66"/>
      <c r="B74" s="67"/>
      <c r="C74" s="69"/>
      <c r="D74" s="67"/>
      <c r="E74" s="116"/>
      <c r="F74" s="90"/>
      <c r="G74" s="87">
        <f t="shared" si="3"/>
        <v>0</v>
      </c>
      <c r="H74" s="88" t="str">
        <f t="shared" si="4"/>
        <v/>
      </c>
      <c r="I74" s="67"/>
      <c r="J74" s="67"/>
      <c r="K74" s="67"/>
      <c r="L74" s="98" t="str">
        <f>IF(A74="","",IF(F74=1,1,IF(E74&gt;=K74,F74,MROUND(((E74*F74+(K74-E74)*水尺计算初次!$L$25)/K74),0.0005))))</f>
        <v/>
      </c>
      <c r="M74" s="107">
        <v>0</v>
      </c>
    </row>
    <row r="75" spans="1:13">
      <c r="A75" s="66"/>
      <c r="B75" s="67"/>
      <c r="C75" s="69"/>
      <c r="D75" s="67"/>
      <c r="E75" s="116"/>
      <c r="F75" s="90"/>
      <c r="G75" s="87">
        <f t="shared" si="3"/>
        <v>0</v>
      </c>
      <c r="H75" s="88" t="str">
        <f t="shared" si="4"/>
        <v/>
      </c>
      <c r="I75" s="67"/>
      <c r="J75" s="67"/>
      <c r="K75" s="67"/>
      <c r="L75" s="98" t="str">
        <f>IF(A75="","",IF(F75=1,1,IF(E75&gt;=K75,F75,MROUND(((E75*F75+(K75-E75)*水尺计算初次!$L$25)/K75),0.0005))))</f>
        <v/>
      </c>
      <c r="M75" s="107">
        <v>0</v>
      </c>
    </row>
    <row r="76" spans="1:13">
      <c r="A76" s="66"/>
      <c r="B76" s="67"/>
      <c r="C76" s="69"/>
      <c r="D76" s="67"/>
      <c r="E76" s="116"/>
      <c r="F76" s="90"/>
      <c r="G76" s="87">
        <f t="shared" si="3"/>
        <v>0</v>
      </c>
      <c r="H76" s="88" t="str">
        <f t="shared" si="4"/>
        <v/>
      </c>
      <c r="I76" s="67"/>
      <c r="J76" s="67"/>
      <c r="K76" s="67"/>
      <c r="L76" s="98" t="str">
        <f>IF(A76="","",IF(F76=1,1,IF(E76&gt;=K76,F76,MROUND(((E76*F76+(K76-E76)*水尺计算初次!$L$25)/K76),0.0005))))</f>
        <v/>
      </c>
      <c r="M76" s="107">
        <v>0</v>
      </c>
    </row>
    <row r="77" spans="1:13">
      <c r="A77" s="66"/>
      <c r="B77" s="67"/>
      <c r="C77" s="69"/>
      <c r="D77" s="67"/>
      <c r="E77" s="116"/>
      <c r="F77" s="90"/>
      <c r="G77" s="87">
        <f t="shared" si="3"/>
        <v>0</v>
      </c>
      <c r="H77" s="88" t="str">
        <f t="shared" si="4"/>
        <v/>
      </c>
      <c r="I77" s="67"/>
      <c r="J77" s="67"/>
      <c r="K77" s="67"/>
      <c r="L77" s="98" t="str">
        <f>IF(A77="","",IF(F77=1,1,IF(E77&gt;=K77,F77,MROUND(((E77*F77+(K77-E77)*水尺计算初次!$L$25)/K77),0.0005))))</f>
        <v/>
      </c>
      <c r="M77" s="107">
        <v>0</v>
      </c>
    </row>
    <row r="78" spans="1:13">
      <c r="A78" s="66"/>
      <c r="B78" s="67"/>
      <c r="C78" s="69"/>
      <c r="D78" s="67"/>
      <c r="E78" s="116"/>
      <c r="F78" s="90"/>
      <c r="G78" s="87">
        <f t="shared" si="3"/>
        <v>0</v>
      </c>
      <c r="H78" s="88" t="str">
        <f t="shared" si="4"/>
        <v/>
      </c>
      <c r="I78" s="67"/>
      <c r="J78" s="67"/>
      <c r="K78" s="67"/>
      <c r="L78" s="98" t="str">
        <f>IF(A78="","",IF(F78=1,1,IF(E78&gt;=K78,F78,MROUND(((E78*F78+(K78-E78)*水尺计算初次!$L$25)/K78),0.0005))))</f>
        <v/>
      </c>
      <c r="M78" s="107">
        <v>0</v>
      </c>
    </row>
    <row r="79" spans="1:13">
      <c r="A79" s="66"/>
      <c r="B79" s="67"/>
      <c r="C79" s="69"/>
      <c r="D79" s="67"/>
      <c r="E79" s="116"/>
      <c r="F79" s="90"/>
      <c r="G79" s="87">
        <f t="shared" si="3"/>
        <v>0</v>
      </c>
      <c r="H79" s="88" t="str">
        <f t="shared" si="4"/>
        <v/>
      </c>
      <c r="I79" s="67"/>
      <c r="J79" s="67"/>
      <c r="K79" s="67"/>
      <c r="L79" s="98" t="str">
        <f>IF(A79="","",IF(F79=1,1,IF(E79&gt;=K79,F79,MROUND(((E79*F79+(K79-E79)*水尺计算初次!$L$25)/K79),0.0005))))</f>
        <v/>
      </c>
      <c r="M79" s="107">
        <v>0</v>
      </c>
    </row>
    <row r="80" spans="1:13">
      <c r="A80" s="66"/>
      <c r="B80" s="67"/>
      <c r="C80" s="69"/>
      <c r="D80" s="67"/>
      <c r="E80" s="116"/>
      <c r="F80" s="90"/>
      <c r="G80" s="87">
        <f t="shared" si="3"/>
        <v>0</v>
      </c>
      <c r="H80" s="88" t="str">
        <f t="shared" si="4"/>
        <v/>
      </c>
      <c r="I80" s="67"/>
      <c r="J80" s="67"/>
      <c r="K80" s="67"/>
      <c r="L80" s="98" t="str">
        <f>IF(A80="","",IF(F80=1,1,IF(E80&gt;=K80,F80,MROUND(((E80*F80+(K80-E80)*水尺计算初次!$L$25)/K80),0.0005))))</f>
        <v/>
      </c>
      <c r="M80" s="107">
        <v>0</v>
      </c>
    </row>
    <row r="81" spans="1:13">
      <c r="A81" s="66"/>
      <c r="B81" s="67"/>
      <c r="C81" s="69"/>
      <c r="D81" s="67"/>
      <c r="E81" s="116"/>
      <c r="F81" s="90"/>
      <c r="G81" s="87">
        <f t="shared" si="3"/>
        <v>0</v>
      </c>
      <c r="H81" s="88" t="str">
        <f t="shared" si="4"/>
        <v/>
      </c>
      <c r="I81" s="67"/>
      <c r="J81" s="67"/>
      <c r="K81" s="67"/>
      <c r="L81" s="98" t="str">
        <f>IF(A81="","",IF(F81=1,1,IF(E81&gt;=K81,F81,MROUND(((E81*F81+(K81-E81)*水尺计算初次!$L$25)/K81),0.0005))))</f>
        <v/>
      </c>
      <c r="M81" s="107">
        <v>0</v>
      </c>
    </row>
    <row r="82" spans="1:13">
      <c r="A82" s="66"/>
      <c r="B82" s="67"/>
      <c r="C82" s="69"/>
      <c r="D82" s="67"/>
      <c r="E82" s="116"/>
      <c r="F82" s="90"/>
      <c r="G82" s="87">
        <f t="shared" si="3"/>
        <v>0</v>
      </c>
      <c r="H82" s="88" t="str">
        <f t="shared" si="4"/>
        <v/>
      </c>
      <c r="I82" s="67"/>
      <c r="J82" s="67"/>
      <c r="K82" s="67"/>
      <c r="L82" s="98" t="str">
        <f>IF(A82="","",IF(F82=1,1,IF(E82&gt;=K82,F82,MROUND(((E82*F82+(K82-E82)*水尺计算初次!$L$25)/K82),0.0005))))</f>
        <v/>
      </c>
      <c r="M82" s="107">
        <v>0</v>
      </c>
    </row>
    <row r="83" spans="1:13">
      <c r="A83" s="66"/>
      <c r="B83" s="67"/>
      <c r="C83" s="69"/>
      <c r="D83" s="67"/>
      <c r="E83" s="116"/>
      <c r="F83" s="90"/>
      <c r="G83" s="87">
        <f t="shared" si="3"/>
        <v>0</v>
      </c>
      <c r="H83" s="88" t="str">
        <f t="shared" si="4"/>
        <v/>
      </c>
      <c r="I83" s="67"/>
      <c r="J83" s="67"/>
      <c r="K83" s="67"/>
      <c r="L83" s="98" t="str">
        <f>IF(A83="","",IF(F83=1,1,IF(E83&gt;=K83,F83,MROUND(((E83*F83+(K83-E83)*水尺计算初次!$L$25)/K83),0.0005))))</f>
        <v/>
      </c>
      <c r="M83" s="107">
        <v>0</v>
      </c>
    </row>
    <row r="84" spans="1:13">
      <c r="A84" s="66"/>
      <c r="B84" s="67"/>
      <c r="C84" s="69"/>
      <c r="D84" s="67"/>
      <c r="E84" s="116"/>
      <c r="F84" s="90"/>
      <c r="G84" s="87">
        <f t="shared" si="3"/>
        <v>0</v>
      </c>
      <c r="H84" s="88" t="str">
        <f t="shared" si="4"/>
        <v/>
      </c>
      <c r="I84" s="67"/>
      <c r="J84" s="67"/>
      <c r="K84" s="67"/>
      <c r="L84" s="98" t="str">
        <f>IF(A84="","",IF(F84=1,1,IF(E84&gt;=K84,F84,MROUND(((E84*F84+(K84-E84)*水尺计算初次!$L$25)/K84),0.0005))))</f>
        <v/>
      </c>
      <c r="M84" s="107">
        <v>0</v>
      </c>
    </row>
    <row r="85" spans="1:13">
      <c r="A85" s="66"/>
      <c r="B85" s="67"/>
      <c r="C85" s="69"/>
      <c r="D85" s="67"/>
      <c r="E85" s="116"/>
      <c r="F85" s="90"/>
      <c r="G85" s="87">
        <f t="shared" si="3"/>
        <v>0</v>
      </c>
      <c r="H85" s="88" t="str">
        <f t="shared" si="4"/>
        <v/>
      </c>
      <c r="I85" s="67"/>
      <c r="J85" s="67"/>
      <c r="K85" s="67"/>
      <c r="L85" s="98" t="str">
        <f>IF(A85="","",IF(F85=1,1,IF(E85&gt;=K85,F85,MROUND(((E85*F85+(K85-E85)*水尺计算初次!$L$25)/K85),0.0005))))</f>
        <v/>
      </c>
      <c r="M85" s="107">
        <v>0</v>
      </c>
    </row>
    <row r="86" spans="1:13">
      <c r="A86" s="66"/>
      <c r="B86" s="67"/>
      <c r="C86" s="69"/>
      <c r="D86" s="67"/>
      <c r="E86" s="116"/>
      <c r="F86" s="90"/>
      <c r="G86" s="87">
        <f t="shared" si="3"/>
        <v>0</v>
      </c>
      <c r="H86" s="88" t="str">
        <f t="shared" si="4"/>
        <v/>
      </c>
      <c r="I86" s="67"/>
      <c r="J86" s="67"/>
      <c r="K86" s="67"/>
      <c r="L86" s="98" t="str">
        <f>IF(A86="","",IF(F86=1,1,IF(E86&gt;=K86,F86,MROUND(((E86*F86+(K86-E86)*水尺计算初次!$L$25)/K86),0.0005))))</f>
        <v/>
      </c>
      <c r="M86" s="107">
        <v>0</v>
      </c>
    </row>
    <row r="87" spans="1:13">
      <c r="A87" s="66"/>
      <c r="B87" s="67"/>
      <c r="C87" s="69"/>
      <c r="D87" s="67"/>
      <c r="E87" s="116"/>
      <c r="F87" s="90"/>
      <c r="G87" s="87">
        <f t="shared" si="3"/>
        <v>0</v>
      </c>
      <c r="H87" s="88" t="str">
        <f t="shared" si="4"/>
        <v/>
      </c>
      <c r="I87" s="67"/>
      <c r="J87" s="67"/>
      <c r="K87" s="67"/>
      <c r="L87" s="98" t="str">
        <f>IF(A87="","",IF(F87=1,1,IF(E87&gt;=K87,F87,MROUND(((E87*F87+(K87-E87)*水尺计算初次!$L$25)/K87),0.0005))))</f>
        <v/>
      </c>
      <c r="M87" s="107">
        <v>0</v>
      </c>
    </row>
    <row r="88" spans="1:13">
      <c r="A88" s="66"/>
      <c r="B88" s="67"/>
      <c r="C88" s="69"/>
      <c r="D88" s="67"/>
      <c r="E88" s="116"/>
      <c r="F88" s="90"/>
      <c r="G88" s="87">
        <f t="shared" si="3"/>
        <v>0</v>
      </c>
      <c r="H88" s="88" t="str">
        <f t="shared" si="4"/>
        <v/>
      </c>
      <c r="I88" s="67"/>
      <c r="J88" s="67"/>
      <c r="K88" s="67"/>
      <c r="L88" s="98" t="str">
        <f>IF(A88="","",IF(F88=1,1,IF(E88&gt;=K88,F88,MROUND(((E88*F88+(K88-E88)*水尺计算初次!$L$25)/K88),0.0005))))</f>
        <v/>
      </c>
      <c r="M88" s="107">
        <v>0</v>
      </c>
    </row>
    <row r="89" spans="1:13">
      <c r="A89" s="66"/>
      <c r="B89" s="67"/>
      <c r="C89" s="69"/>
      <c r="D89" s="67"/>
      <c r="E89" s="116"/>
      <c r="F89" s="90"/>
      <c r="G89" s="87">
        <f t="shared" si="3"/>
        <v>0</v>
      </c>
      <c r="H89" s="88" t="str">
        <f t="shared" si="4"/>
        <v/>
      </c>
      <c r="I89" s="67"/>
      <c r="J89" s="67"/>
      <c r="K89" s="67"/>
      <c r="L89" s="98" t="str">
        <f>IF(A89="","",IF(F89=1,1,IF(E89&gt;=K89,F89,MROUND(((E89*F89+(K89-E89)*水尺计算初次!$L$25)/K89),0.0005))))</f>
        <v/>
      </c>
      <c r="M89" s="107">
        <v>0</v>
      </c>
    </row>
    <row r="90" spans="1:13">
      <c r="A90" s="66"/>
      <c r="B90" s="67"/>
      <c r="C90" s="69"/>
      <c r="D90" s="67"/>
      <c r="E90" s="116"/>
      <c r="F90" s="90"/>
      <c r="G90" s="87">
        <f t="shared" si="3"/>
        <v>0</v>
      </c>
      <c r="H90" s="88" t="str">
        <f t="shared" si="4"/>
        <v/>
      </c>
      <c r="I90" s="67"/>
      <c r="J90" s="67"/>
      <c r="K90" s="67"/>
      <c r="L90" s="98" t="str">
        <f>IF(A90="","",IF(F90=1,1,IF(E90&gt;=K90,F90,MROUND(((E90*F90+(K90-E90)*水尺计算初次!$L$25)/K90),0.0005))))</f>
        <v/>
      </c>
      <c r="M90" s="107">
        <v>0</v>
      </c>
    </row>
    <row r="91" spans="1:13">
      <c r="A91" s="66"/>
      <c r="B91" s="67"/>
      <c r="C91" s="69"/>
      <c r="D91" s="67"/>
      <c r="E91" s="116"/>
      <c r="F91" s="90"/>
      <c r="G91" s="87">
        <f t="shared" si="3"/>
        <v>0</v>
      </c>
      <c r="H91" s="88" t="str">
        <f t="shared" si="4"/>
        <v/>
      </c>
      <c r="I91" s="67"/>
      <c r="J91" s="67"/>
      <c r="K91" s="67"/>
      <c r="L91" s="98" t="str">
        <f>IF(A91="","",IF(F91=1,1,IF(E91&gt;=K91,F91,MROUND(((E91*F91+(K91-E91)*水尺计算初次!$L$25)/K91),0.0005))))</f>
        <v/>
      </c>
      <c r="M91" s="107">
        <v>0</v>
      </c>
    </row>
    <row r="92" spans="1:13">
      <c r="A92" s="66"/>
      <c r="B92" s="67"/>
      <c r="C92" s="69"/>
      <c r="D92" s="67"/>
      <c r="E92" s="116"/>
      <c r="F92" s="90"/>
      <c r="G92" s="87">
        <f t="shared" si="3"/>
        <v>0</v>
      </c>
      <c r="H92" s="88" t="str">
        <f t="shared" si="4"/>
        <v/>
      </c>
      <c r="I92" s="67"/>
      <c r="J92" s="67"/>
      <c r="K92" s="67"/>
      <c r="L92" s="98" t="str">
        <f>IF(A92="","",IF(F92=1,1,IF(E92&gt;=K92,F92,MROUND(((E92*F92+(K92-E92)*水尺计算初次!$L$25)/K92),0.0005))))</f>
        <v/>
      </c>
      <c r="M92" s="107">
        <v>0</v>
      </c>
    </row>
    <row r="93" spans="1:13" ht="16">
      <c r="A93" s="70" t="s">
        <v>226</v>
      </c>
      <c r="B93" s="71"/>
      <c r="C93" s="72"/>
      <c r="D93" s="71"/>
      <c r="E93" s="71"/>
      <c r="F93" s="71"/>
      <c r="G93" s="91">
        <f>SUM(G68:G92)</f>
        <v>0</v>
      </c>
      <c r="H93" s="71"/>
      <c r="I93" s="71"/>
      <c r="J93" s="71"/>
      <c r="K93" s="71"/>
      <c r="L93" s="71"/>
      <c r="M93" s="109" t="e">
        <f>SUM(M68:M92)</f>
        <v>#VALUE!</v>
      </c>
    </row>
    <row r="94" spans="1:13" ht="17">
      <c r="A94" s="73" t="s">
        <v>227</v>
      </c>
      <c r="B94" s="71"/>
      <c r="C94" s="72"/>
      <c r="D94" s="71"/>
      <c r="E94" s="93"/>
      <c r="F94" s="71"/>
      <c r="G94" s="94" t="str">
        <f t="shared" ref="G94:G96" si="5">G37</f>
        <v>F13</v>
      </c>
      <c r="H94" s="71" t="str">
        <f>IF(B94="","",B94)</f>
        <v/>
      </c>
      <c r="I94" s="71"/>
      <c r="J94" s="71"/>
      <c r="K94" s="71"/>
      <c r="L94" s="71"/>
      <c r="M94" s="94" t="str">
        <f t="shared" ref="M94:M96" si="6">M37</f>
        <v>H13</v>
      </c>
    </row>
    <row r="95" spans="1:13" ht="17">
      <c r="A95" s="74" t="s">
        <v>230</v>
      </c>
      <c r="B95" s="71"/>
      <c r="C95" s="71"/>
      <c r="D95" s="71"/>
      <c r="E95" s="93"/>
      <c r="F95" s="71"/>
      <c r="G95" s="94" t="str">
        <f t="shared" si="5"/>
        <v>F14</v>
      </c>
      <c r="H95" s="71" t="str">
        <f>IF(B95="","",B95)</f>
        <v/>
      </c>
      <c r="I95" s="71"/>
      <c r="J95" s="71"/>
      <c r="K95" s="71"/>
      <c r="L95" s="71"/>
      <c r="M95" s="94" t="str">
        <f t="shared" si="6"/>
        <v>H14</v>
      </c>
    </row>
    <row r="96" spans="1:13" ht="16">
      <c r="A96" s="74"/>
      <c r="B96" s="71"/>
      <c r="C96" s="71"/>
      <c r="D96" s="71"/>
      <c r="E96" s="93"/>
      <c r="F96" s="71"/>
      <c r="G96" s="94">
        <f t="shared" si="5"/>
        <v>0</v>
      </c>
      <c r="H96" s="93"/>
      <c r="I96" s="99"/>
      <c r="J96" s="100"/>
      <c r="K96" s="93"/>
      <c r="L96" s="99"/>
      <c r="M96" s="94">
        <f t="shared" si="6"/>
        <v>0</v>
      </c>
    </row>
    <row r="97" spans="1:13" ht="17">
      <c r="A97" s="71" t="s">
        <v>226</v>
      </c>
      <c r="B97" s="71"/>
      <c r="C97" s="71"/>
      <c r="D97" s="71"/>
      <c r="E97" s="93"/>
      <c r="F97" s="71"/>
      <c r="G97" s="92">
        <f>SUM(G94:G96)</f>
        <v>0</v>
      </c>
      <c r="H97" s="93"/>
      <c r="I97" s="99"/>
      <c r="J97" s="100"/>
      <c r="K97" s="93"/>
      <c r="L97" s="99"/>
      <c r="M97" s="92">
        <f>SUM(M94:M96)</f>
        <v>0</v>
      </c>
    </row>
    <row r="98" spans="1:13">
      <c r="A98" s="523"/>
      <c r="B98" s="516" t="s">
        <v>233</v>
      </c>
      <c r="C98" s="516"/>
      <c r="D98" s="516"/>
      <c r="E98" s="516" t="s">
        <v>234</v>
      </c>
      <c r="F98" s="512"/>
      <c r="G98" s="512"/>
      <c r="H98" s="517" t="s">
        <v>233</v>
      </c>
      <c r="I98" s="518"/>
      <c r="J98" s="519"/>
      <c r="K98" s="517" t="s">
        <v>235</v>
      </c>
      <c r="L98" s="518"/>
      <c r="M98" s="519"/>
    </row>
    <row r="99" spans="1:13" ht="16">
      <c r="A99" s="523"/>
      <c r="B99" s="490">
        <f>G93</f>
        <v>0</v>
      </c>
      <c r="C99" s="490"/>
      <c r="D99" s="490"/>
      <c r="E99" s="490">
        <f>E42</f>
        <v>0</v>
      </c>
      <c r="F99" s="490"/>
      <c r="G99" s="490"/>
      <c r="H99" s="491" t="e">
        <f>M93</f>
        <v>#VALUE!</v>
      </c>
      <c r="I99" s="492"/>
      <c r="J99" s="493"/>
      <c r="K99" s="494">
        <f>K42</f>
        <v>0</v>
      </c>
      <c r="L99" s="495"/>
      <c r="M99" s="496"/>
    </row>
    <row r="100" spans="1:13">
      <c r="A100" s="520" t="s">
        <v>236</v>
      </c>
      <c r="B100" s="521"/>
      <c r="C100" s="521"/>
      <c r="D100" s="521"/>
      <c r="E100" s="521"/>
      <c r="F100" s="521"/>
      <c r="G100" s="521"/>
      <c r="H100" s="521"/>
      <c r="I100" s="521"/>
      <c r="J100" s="521"/>
      <c r="K100" s="521"/>
      <c r="L100" s="521"/>
      <c r="M100" s="521"/>
    </row>
    <row r="101" spans="1:13">
      <c r="A101" s="499"/>
      <c r="B101" s="500"/>
      <c r="C101" s="500"/>
      <c r="D101" s="500"/>
      <c r="E101" s="500"/>
      <c r="F101" s="500"/>
      <c r="G101" s="500"/>
      <c r="H101" s="500"/>
      <c r="I101" s="500"/>
      <c r="J101" s="500"/>
      <c r="K101" s="500"/>
      <c r="L101" s="500"/>
      <c r="M101" s="500"/>
    </row>
    <row r="102" spans="1:13">
      <c r="A102" s="501"/>
      <c r="B102" s="501"/>
      <c r="C102" s="501"/>
      <c r="D102" s="501"/>
      <c r="E102" s="501"/>
      <c r="F102" s="501"/>
      <c r="G102" s="501"/>
      <c r="H102" s="501"/>
      <c r="I102" s="501"/>
      <c r="J102" s="501"/>
      <c r="K102" s="501"/>
      <c r="L102" s="501"/>
      <c r="M102" s="501"/>
    </row>
    <row r="103" spans="1:13" ht="16">
      <c r="A103" s="75"/>
    </row>
    <row r="104" spans="1:13">
      <c r="A104" s="501" t="s">
        <v>237</v>
      </c>
      <c r="B104" s="501"/>
      <c r="C104" s="501"/>
      <c r="D104" s="501"/>
      <c r="E104" s="501"/>
      <c r="F104" s="501"/>
      <c r="G104" s="501"/>
      <c r="H104" s="501"/>
      <c r="I104" s="501"/>
      <c r="J104" s="501"/>
      <c r="K104" s="501"/>
      <c r="L104" s="501"/>
      <c r="M104" s="501"/>
    </row>
  </sheetData>
  <protectedRanges>
    <protectedRange sqref="H45:L45 D14:D17 B33:B35 H38:H41 A36:F41 D20:D35 K35:K40 I33:J42 H102:L102 D71:D74 B90:B92 H95:H98 A93:F98 D77:D92 K92:K97 I90:J99" name="区域1" securityDescriptor=""/>
    <protectedRange sqref="D18:D19 D75:D76" name="区域1_1" securityDescriptor=""/>
    <protectedRange sqref="A12:A35 A69:A92" name="区域1_2_1" securityDescriptor=""/>
  </protectedRanges>
  <mergeCells count="60">
    <mergeCell ref="N13:R14"/>
    <mergeCell ref="A53:M54"/>
    <mergeCell ref="A100:M100"/>
    <mergeCell ref="A101:M101"/>
    <mergeCell ref="A102:M102"/>
    <mergeCell ref="A104:M104"/>
    <mergeCell ref="A8:A10"/>
    <mergeCell ref="A41:A42"/>
    <mergeCell ref="A65:A67"/>
    <mergeCell ref="A98:A99"/>
    <mergeCell ref="B98:D98"/>
    <mergeCell ref="E98:G98"/>
    <mergeCell ref="H98:J98"/>
    <mergeCell ref="K98:M98"/>
    <mergeCell ref="B99:D99"/>
    <mergeCell ref="E99:G99"/>
    <mergeCell ref="H99:J99"/>
    <mergeCell ref="K99:M99"/>
    <mergeCell ref="C64:D64"/>
    <mergeCell ref="I64:L64"/>
    <mergeCell ref="B65:G65"/>
    <mergeCell ref="H65:M65"/>
    <mergeCell ref="B66:D66"/>
    <mergeCell ref="E66:G66"/>
    <mergeCell ref="H66:J66"/>
    <mergeCell ref="K66:M66"/>
    <mergeCell ref="B59:M59"/>
    <mergeCell ref="B60:K60"/>
    <mergeCell ref="L60:M60"/>
    <mergeCell ref="A61:M61"/>
    <mergeCell ref="A63:L63"/>
    <mergeCell ref="A44:M44"/>
    <mergeCell ref="A45:M45"/>
    <mergeCell ref="A47:M47"/>
    <mergeCell ref="B58:H58"/>
    <mergeCell ref="I58:M58"/>
    <mergeCell ref="B42:D42"/>
    <mergeCell ref="E42:G42"/>
    <mergeCell ref="H42:J42"/>
    <mergeCell ref="K42:M42"/>
    <mergeCell ref="A43:M43"/>
    <mergeCell ref="B9:D9"/>
    <mergeCell ref="E9:G9"/>
    <mergeCell ref="H9:J9"/>
    <mergeCell ref="K9:M9"/>
    <mergeCell ref="B41:D41"/>
    <mergeCell ref="E41:G41"/>
    <mergeCell ref="H41:J41"/>
    <mergeCell ref="K41:M41"/>
    <mergeCell ref="A4:M4"/>
    <mergeCell ref="A6:L6"/>
    <mergeCell ref="C7:D7"/>
    <mergeCell ref="I7:L7"/>
    <mergeCell ref="B8:G8"/>
    <mergeCell ref="H8:M8"/>
    <mergeCell ref="B1:H1"/>
    <mergeCell ref="I1:M1"/>
    <mergeCell ref="B2:M2"/>
    <mergeCell ref="B3:K3"/>
    <mergeCell ref="L3:M3"/>
  </mergeCells>
  <phoneticPr fontId="28" type="noConversion"/>
  <pageMargins left="0.55000000000000004" right="0.55000000000000004" top="0.59027777777777801" bottom="0.59027777777777801" header="0.51180555555555596" footer="0.51180555555555596"/>
  <pageSetup paperSize="9" orientation="portrait" blackAndWhite="1"/>
  <headerFooter alignWithMargins="0">
    <oddFooter>&amp;L&amp;"仿宋_GB2312,常规"&amp;9实施日期：2019年8月20日&amp;R&amp;"仿宋_GB2312,常规"&amp;9第1 页 共 1 页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5"/>
  <sheetViews>
    <sheetView zoomScale="133" zoomScaleNormal="133" workbookViewId="0">
      <selection activeCell="H1" sqref="H1:J1"/>
    </sheetView>
  </sheetViews>
  <sheetFormatPr baseColWidth="10" defaultColWidth="9" defaultRowHeight="15"/>
  <cols>
    <col min="1" max="1" width="7" customWidth="1"/>
    <col min="2" max="2" width="8.33203125" customWidth="1"/>
    <col min="3" max="3" width="5.6640625" customWidth="1"/>
    <col min="4" max="4" width="6.5" customWidth="1"/>
    <col min="5" max="5" width="8.5" customWidth="1"/>
    <col min="6" max="6" width="6.5" customWidth="1"/>
    <col min="7" max="7" width="8.83203125" customWidth="1"/>
    <col min="8" max="8" width="12.1640625" customWidth="1"/>
    <col min="9" max="9" width="6.6640625" customWidth="1"/>
    <col min="10" max="10" width="13.83203125" customWidth="1"/>
  </cols>
  <sheetData>
    <row r="1" spans="1:10">
      <c r="A1" s="37"/>
      <c r="B1" s="246" t="s">
        <v>0</v>
      </c>
      <c r="C1" s="246"/>
      <c r="D1" s="246"/>
      <c r="E1" s="246"/>
      <c r="F1" s="246"/>
      <c r="G1" s="53"/>
      <c r="H1" s="528" t="s">
        <v>239</v>
      </c>
      <c r="I1" s="529"/>
      <c r="J1" s="530"/>
    </row>
    <row r="2" spans="1:10">
      <c r="A2" s="37"/>
      <c r="B2" s="250" t="s">
        <v>2</v>
      </c>
      <c r="C2" s="531"/>
      <c r="D2" s="531"/>
      <c r="E2" s="531"/>
      <c r="F2" s="531"/>
      <c r="G2" s="531"/>
      <c r="H2" s="531"/>
      <c r="I2" s="531"/>
      <c r="J2" s="531"/>
    </row>
    <row r="3" spans="1:10" ht="7" customHeight="1">
      <c r="A3" s="37"/>
      <c r="B3" s="37"/>
      <c r="C3" s="37"/>
      <c r="D3" s="37"/>
      <c r="E3" s="37"/>
      <c r="F3" s="37"/>
      <c r="G3" s="37"/>
      <c r="H3" s="37"/>
      <c r="I3" s="37"/>
      <c r="J3" s="37"/>
    </row>
    <row r="4" spans="1:10" ht="16">
      <c r="A4" s="37"/>
      <c r="B4" s="37"/>
      <c r="C4" s="37"/>
      <c r="D4" s="37"/>
      <c r="E4" s="37"/>
      <c r="F4" s="37"/>
      <c r="G4" s="37"/>
      <c r="H4" s="532" t="s">
        <v>240</v>
      </c>
      <c r="I4" s="533"/>
      <c r="J4" s="58" t="str">
        <f>水尺计算初次!T3</f>
        <v>32110202104000114</v>
      </c>
    </row>
    <row r="5" spans="1:10" ht="30.75" customHeight="1">
      <c r="A5" s="534" t="s">
        <v>241</v>
      </c>
      <c r="B5" s="534"/>
      <c r="C5" s="534"/>
      <c r="D5" s="534"/>
      <c r="E5" s="534"/>
      <c r="F5" s="534"/>
      <c r="G5" s="534"/>
      <c r="H5" s="534"/>
      <c r="I5" s="534"/>
      <c r="J5" s="534"/>
    </row>
    <row r="6" spans="1:10" ht="14.25" customHeight="1">
      <c r="A6" s="39" t="s">
        <v>242</v>
      </c>
      <c r="B6" s="557" t="str">
        <f>水尺计算初次!B6</f>
        <v>MOUNT BOLIVAR</v>
      </c>
      <c r="C6" s="555"/>
      <c r="D6" s="40" t="s">
        <v>243</v>
      </c>
      <c r="E6" s="557" t="str">
        <f>水尺计算初次!H6</f>
        <v>董家口</v>
      </c>
      <c r="F6" s="555"/>
      <c r="G6" s="40" t="s">
        <v>244</v>
      </c>
      <c r="H6" s="555" t="str">
        <f>水尺计算初次!N6</f>
        <v>铁矿</v>
      </c>
      <c r="I6" s="39" t="s">
        <v>245</v>
      </c>
      <c r="J6" s="59">
        <f>工作记录单!D12</f>
        <v>44337</v>
      </c>
    </row>
    <row r="7" spans="1:10" ht="14.25" customHeight="1">
      <c r="A7" s="41"/>
      <c r="B7" s="479"/>
      <c r="C7" s="556"/>
      <c r="D7" s="41"/>
      <c r="E7" s="479"/>
      <c r="F7" s="556"/>
      <c r="G7" s="41"/>
      <c r="H7" s="556"/>
      <c r="I7" s="41"/>
      <c r="J7" s="60">
        <f>工作记录单!L12</f>
        <v>44339</v>
      </c>
    </row>
    <row r="8" spans="1:10" ht="40" customHeight="1">
      <c r="A8" s="37"/>
      <c r="B8" s="37"/>
      <c r="C8" s="37"/>
      <c r="D8" s="37"/>
      <c r="E8" s="37"/>
      <c r="F8" s="37"/>
      <c r="G8" s="535" t="s">
        <v>246</v>
      </c>
      <c r="H8" s="535"/>
      <c r="I8" s="535" t="s">
        <v>247</v>
      </c>
      <c r="J8" s="535"/>
    </row>
    <row r="9" spans="1:10" ht="23.25" customHeight="1">
      <c r="A9" s="536" t="s">
        <v>248</v>
      </c>
      <c r="B9" s="537"/>
      <c r="C9" s="537"/>
      <c r="D9" s="537"/>
      <c r="E9" s="537"/>
      <c r="F9" s="55"/>
      <c r="G9" s="538" t="str">
        <f>工作记录单!E12</f>
        <v>18:00-19:00</v>
      </c>
      <c r="H9" s="539"/>
      <c r="I9" s="538" t="str">
        <f>工作记录单!N12</f>
        <v>10:30-11:30</v>
      </c>
      <c r="J9" s="539"/>
    </row>
    <row r="10" spans="1:10" ht="23.25" customHeight="1">
      <c r="A10" s="536" t="s">
        <v>249</v>
      </c>
      <c r="B10" s="537"/>
      <c r="C10" s="537"/>
      <c r="D10" s="537"/>
      <c r="E10" s="537"/>
      <c r="F10" s="540"/>
      <c r="G10" s="541" t="str">
        <f>水尺计算初次!L25</f>
        <v>D39</v>
      </c>
      <c r="H10" s="542"/>
      <c r="I10" s="541">
        <f>水尺计算末次!L25</f>
        <v>1.0229999999999999</v>
      </c>
      <c r="J10" s="542"/>
    </row>
    <row r="11" spans="1:10" ht="6.75" customHeight="1">
      <c r="A11" s="43"/>
      <c r="B11" s="37"/>
      <c r="C11" s="37"/>
      <c r="D11" s="37"/>
      <c r="E11" s="37"/>
      <c r="F11" s="37"/>
      <c r="G11" s="56"/>
      <c r="H11" s="56"/>
      <c r="I11" s="56"/>
      <c r="J11" s="56"/>
    </row>
    <row r="12" spans="1:10" ht="16" customHeight="1">
      <c r="A12" s="43" t="s">
        <v>250</v>
      </c>
      <c r="B12" s="37"/>
      <c r="C12" s="37"/>
      <c r="D12" s="37"/>
      <c r="E12" s="37"/>
      <c r="F12" s="37"/>
      <c r="G12" s="316"/>
      <c r="H12" s="316"/>
      <c r="I12" s="316"/>
      <c r="J12" s="316"/>
    </row>
    <row r="13" spans="1:10" ht="21.25" customHeight="1">
      <c r="A13" s="44"/>
      <c r="B13" s="543" t="s">
        <v>251</v>
      </c>
      <c r="C13" s="543"/>
      <c r="D13" s="543"/>
      <c r="E13" s="543"/>
      <c r="F13" s="544"/>
      <c r="G13" s="545" t="e">
        <f>水尺计算初次!S15</f>
        <v>#VALUE!</v>
      </c>
      <c r="H13" s="546"/>
      <c r="I13" s="545" t="e">
        <f>水尺计算末次!S15</f>
        <v>#VALUE!</v>
      </c>
      <c r="J13" s="546"/>
    </row>
    <row r="14" spans="1:10" ht="21.25" customHeight="1">
      <c r="A14" s="46"/>
      <c r="B14" s="543" t="s">
        <v>252</v>
      </c>
      <c r="C14" s="543"/>
      <c r="D14" s="543"/>
      <c r="E14" s="543"/>
      <c r="F14" s="544"/>
      <c r="G14" s="545" t="e">
        <f>水尺计算初次!S17</f>
        <v>#VALUE!</v>
      </c>
      <c r="H14" s="546"/>
      <c r="I14" s="547" t="e">
        <f>水尺计算末次!S17</f>
        <v>#VALUE!</v>
      </c>
      <c r="J14" s="547"/>
    </row>
    <row r="15" spans="1:10" ht="21.25" customHeight="1">
      <c r="A15" s="44"/>
      <c r="B15" s="543" t="s">
        <v>253</v>
      </c>
      <c r="C15" s="543"/>
      <c r="D15" s="543"/>
      <c r="E15" s="543"/>
      <c r="F15" s="544"/>
      <c r="G15" s="545" t="e">
        <f>水尺计算初次!D10+水尺计算初次!L16</f>
        <v>#VALUE!</v>
      </c>
      <c r="H15" s="546"/>
      <c r="I15" s="547" t="e">
        <f>水尺计算末次!D10+水尺计算末次!L16</f>
        <v>#VALUE!</v>
      </c>
      <c r="J15" s="547"/>
    </row>
    <row r="16" spans="1:10" ht="21.25" customHeight="1">
      <c r="A16" s="44"/>
      <c r="B16" s="543" t="s">
        <v>254</v>
      </c>
      <c r="C16" s="543"/>
      <c r="D16" s="543"/>
      <c r="E16" s="543"/>
      <c r="F16" s="544"/>
      <c r="G16" s="545" t="e">
        <f>水尺计算初次!L10+水尺计算初次!L16</f>
        <v>#VALUE!</v>
      </c>
      <c r="H16" s="546"/>
      <c r="I16" s="547" t="e">
        <f>水尺计算末次!L10+水尺计算末次!L16</f>
        <v>#VALUE!</v>
      </c>
      <c r="J16" s="547"/>
    </row>
    <row r="17" spans="1:10" ht="21.25" customHeight="1">
      <c r="A17" s="44"/>
      <c r="B17" s="537" t="s">
        <v>255</v>
      </c>
      <c r="C17" s="537"/>
      <c r="D17" s="537"/>
      <c r="E17" s="537"/>
      <c r="F17" s="548"/>
      <c r="G17" s="545" t="e">
        <f>水尺计算初次!L18</f>
        <v>#VALUE!</v>
      </c>
      <c r="H17" s="546"/>
      <c r="I17" s="547" t="e">
        <f>水尺计算末次!L18</f>
        <v>#VALUE!</v>
      </c>
      <c r="J17" s="547"/>
    </row>
    <row r="18" spans="1:10" ht="23.25" customHeight="1">
      <c r="A18" s="549" t="s">
        <v>256</v>
      </c>
      <c r="B18" s="549"/>
      <c r="C18" s="549"/>
      <c r="D18" s="549"/>
      <c r="E18" s="37"/>
      <c r="F18" s="37"/>
      <c r="G18" s="316"/>
      <c r="H18" s="316"/>
      <c r="I18" s="316"/>
      <c r="J18" s="316"/>
    </row>
    <row r="19" spans="1:10" ht="21.25" customHeight="1">
      <c r="A19" s="44"/>
      <c r="B19" s="543" t="s">
        <v>257</v>
      </c>
      <c r="C19" s="543"/>
      <c r="D19" s="543"/>
      <c r="E19" s="543"/>
      <c r="F19" s="544"/>
      <c r="G19" s="550" t="e">
        <f>水尺计算初次!T20</f>
        <v>#VALUE!</v>
      </c>
      <c r="H19" s="550"/>
      <c r="I19" s="550" t="e">
        <f>水尺计算末次!T20</f>
        <v>#VALUE!</v>
      </c>
      <c r="J19" s="550"/>
    </row>
    <row r="20" spans="1:10" ht="21.25" customHeight="1">
      <c r="A20" s="44"/>
      <c r="B20" s="543" t="s">
        <v>258</v>
      </c>
      <c r="C20" s="543"/>
      <c r="D20" s="543"/>
      <c r="E20" s="543"/>
      <c r="F20" s="544"/>
      <c r="G20" s="551" t="e">
        <f>水尺计算初次!T22+水尺计算初次!T23</f>
        <v>#VALUE!</v>
      </c>
      <c r="H20" s="551"/>
      <c r="I20" s="551" t="e">
        <f>水尺计算末次!T22+水尺计算末次!T23</f>
        <v>#VALUE!</v>
      </c>
      <c r="J20" s="551"/>
    </row>
    <row r="21" spans="1:10" ht="21.25" customHeight="1">
      <c r="A21" s="44"/>
      <c r="B21" s="543" t="s">
        <v>259</v>
      </c>
      <c r="C21" s="543"/>
      <c r="D21" s="543"/>
      <c r="E21" s="543"/>
      <c r="F21" s="544"/>
      <c r="G21" s="551" t="e">
        <f>水尺计算初次!T25</f>
        <v>#VALUE!</v>
      </c>
      <c r="H21" s="551"/>
      <c r="I21" s="551" t="e">
        <f>水尺计算末次!T25</f>
        <v>#VALUE!</v>
      </c>
      <c r="J21" s="551"/>
    </row>
    <row r="22" spans="1:10" ht="21.25" customHeight="1">
      <c r="A22" s="44"/>
      <c r="B22" s="543" t="s">
        <v>260</v>
      </c>
      <c r="C22" s="543"/>
      <c r="D22" s="543"/>
      <c r="E22" s="543"/>
      <c r="F22" s="544"/>
      <c r="G22" s="550" t="e">
        <f>水尺计算初次!T26</f>
        <v>#VALUE!</v>
      </c>
      <c r="H22" s="550"/>
      <c r="I22" s="550" t="e">
        <f>水尺计算末次!T26</f>
        <v>#VALUE!</v>
      </c>
      <c r="J22" s="550"/>
    </row>
    <row r="23" spans="1:10" ht="23.25" customHeight="1">
      <c r="A23" s="549" t="s">
        <v>261</v>
      </c>
      <c r="B23" s="549"/>
      <c r="C23" s="549"/>
      <c r="D23" s="549"/>
      <c r="E23" s="549"/>
      <c r="F23" s="37"/>
      <c r="G23" s="552"/>
      <c r="H23" s="552"/>
      <c r="I23" s="552"/>
      <c r="J23" s="552"/>
    </row>
    <row r="24" spans="1:10" ht="21.25" customHeight="1">
      <c r="A24" s="44"/>
      <c r="B24" s="543" t="s">
        <v>262</v>
      </c>
      <c r="C24" s="543"/>
      <c r="D24" s="543"/>
      <c r="E24" s="45"/>
      <c r="F24" s="55"/>
      <c r="G24" s="550">
        <f>水尺计算初次!T28</f>
        <v>0</v>
      </c>
      <c r="H24" s="550"/>
      <c r="I24" s="550">
        <f>水尺计算末次!T28</f>
        <v>0</v>
      </c>
      <c r="J24" s="550"/>
    </row>
    <row r="25" spans="1:10" ht="21.25" customHeight="1">
      <c r="A25" s="44"/>
      <c r="B25" s="543" t="s">
        <v>263</v>
      </c>
      <c r="C25" s="543"/>
      <c r="D25" s="543"/>
      <c r="E25" s="45"/>
      <c r="F25" s="55"/>
      <c r="G25" s="550">
        <f>水尺计算初次!L28</f>
        <v>0</v>
      </c>
      <c r="H25" s="550"/>
      <c r="I25" s="550">
        <f>水尺计算末次!L28</f>
        <v>0</v>
      </c>
      <c r="J25" s="550"/>
    </row>
    <row r="26" spans="1:10" ht="21.25" customHeight="1">
      <c r="A26" s="44"/>
      <c r="B26" s="543" t="s">
        <v>264</v>
      </c>
      <c r="C26" s="543"/>
      <c r="D26" s="543"/>
      <c r="E26" s="45"/>
      <c r="F26" s="55"/>
      <c r="G26" s="550" t="e">
        <f>水尺计算初次!D28</f>
        <v>#VALUE!</v>
      </c>
      <c r="H26" s="550"/>
      <c r="I26" s="550" t="e">
        <f>水尺计算末次!D28</f>
        <v>#VALUE!</v>
      </c>
      <c r="J26" s="550"/>
    </row>
    <row r="27" spans="1:10" ht="21.25" customHeight="1">
      <c r="A27" s="44"/>
      <c r="B27" s="543" t="s">
        <v>265</v>
      </c>
      <c r="C27" s="543"/>
      <c r="D27" s="543"/>
      <c r="E27" s="45"/>
      <c r="F27" s="55"/>
      <c r="G27" s="550">
        <f>水尺计算初次!T29</f>
        <v>0</v>
      </c>
      <c r="H27" s="550"/>
      <c r="I27" s="550">
        <f>水尺计算末次!T29</f>
        <v>0</v>
      </c>
      <c r="J27" s="550"/>
    </row>
    <row r="28" spans="1:10" ht="21" customHeight="1">
      <c r="A28" s="47"/>
      <c r="B28" s="543" t="s">
        <v>266</v>
      </c>
      <c r="C28" s="543"/>
      <c r="D28" s="543"/>
      <c r="E28" s="543"/>
      <c r="F28" s="544"/>
      <c r="G28" s="550" t="e">
        <f>水尺计算初次!T30</f>
        <v>#VALUE!</v>
      </c>
      <c r="H28" s="550"/>
      <c r="I28" s="550" t="e">
        <f>水尺计算末次!T30</f>
        <v>#VALUE!</v>
      </c>
      <c r="J28" s="550"/>
    </row>
    <row r="29" spans="1:10" ht="21" customHeight="1">
      <c r="A29" s="48"/>
      <c r="B29" s="48"/>
      <c r="C29" s="48"/>
      <c r="D29" s="48"/>
      <c r="E29" s="48"/>
      <c r="F29" s="37"/>
      <c r="G29" s="56"/>
      <c r="H29" s="56"/>
      <c r="I29" s="56"/>
      <c r="J29" s="56"/>
    </row>
    <row r="30" spans="1:10" ht="29.25" customHeight="1">
      <c r="A30" s="49" t="s">
        <v>267</v>
      </c>
      <c r="B30" s="50"/>
      <c r="C30" s="50"/>
      <c r="D30" s="50"/>
      <c r="E30" s="50"/>
      <c r="F30" s="55"/>
      <c r="G30" s="553" t="e">
        <f>水尺计算末次!T32</f>
        <v>#VALUE!</v>
      </c>
      <c r="H30" s="553"/>
      <c r="I30" s="553"/>
      <c r="J30" s="553"/>
    </row>
    <row r="31" spans="1:10">
      <c r="A31" s="37"/>
      <c r="B31" s="37"/>
      <c r="C31" s="37"/>
      <c r="D31" s="37"/>
      <c r="E31" s="37"/>
      <c r="F31" s="37"/>
      <c r="G31" s="37"/>
      <c r="H31" s="37"/>
      <c r="I31" s="37"/>
      <c r="J31" s="37"/>
    </row>
    <row r="32" spans="1:10" ht="21.75" customHeight="1">
      <c r="A32" s="498"/>
      <c r="B32" s="498"/>
      <c r="C32" s="498"/>
      <c r="D32" s="498"/>
      <c r="E32" s="498"/>
      <c r="F32" s="498"/>
      <c r="G32" s="498"/>
      <c r="H32" s="498"/>
      <c r="I32" s="498"/>
      <c r="J32" s="498"/>
    </row>
    <row r="33" spans="1:10">
      <c r="A33" s="37"/>
      <c r="B33" s="37"/>
      <c r="C33" s="37"/>
      <c r="D33" s="37"/>
      <c r="E33" s="37"/>
      <c r="F33" s="37"/>
      <c r="G33" s="37"/>
      <c r="H33" s="37"/>
      <c r="I33" s="37"/>
      <c r="J33" s="37"/>
    </row>
    <row r="34" spans="1:10" ht="16">
      <c r="A34" s="554" t="s">
        <v>268</v>
      </c>
      <c r="B34" s="554"/>
      <c r="C34" s="554"/>
      <c r="D34" s="51"/>
      <c r="E34" s="51"/>
      <c r="F34" s="54"/>
      <c r="G34" s="43" t="s">
        <v>269</v>
      </c>
      <c r="H34" s="57"/>
      <c r="I34" s="51"/>
      <c r="J34" s="37"/>
    </row>
    <row r="35" spans="1:10">
      <c r="A35" s="52"/>
      <c r="B35" s="52"/>
      <c r="C35" s="52"/>
      <c r="D35" s="52"/>
      <c r="E35" s="52"/>
      <c r="F35" s="52"/>
      <c r="G35" s="52"/>
      <c r="H35" s="52"/>
      <c r="I35" s="52"/>
      <c r="J35" s="52"/>
    </row>
  </sheetData>
  <sheetProtection password="CC3D" sheet="1" objects="1"/>
  <mergeCells count="69">
    <mergeCell ref="G30:J30"/>
    <mergeCell ref="A32:J32"/>
    <mergeCell ref="A34:C34"/>
    <mergeCell ref="H6:H7"/>
    <mergeCell ref="B6:C7"/>
    <mergeCell ref="E6:F7"/>
    <mergeCell ref="B27:D27"/>
    <mergeCell ref="G27:H27"/>
    <mergeCell ref="I27:J27"/>
    <mergeCell ref="B28:F28"/>
    <mergeCell ref="G28:H28"/>
    <mergeCell ref="I28:J28"/>
    <mergeCell ref="B25:D25"/>
    <mergeCell ref="G25:H25"/>
    <mergeCell ref="I25:J25"/>
    <mergeCell ref="B26:D26"/>
    <mergeCell ref="G26:H26"/>
    <mergeCell ref="I26:J26"/>
    <mergeCell ref="A23:E23"/>
    <mergeCell ref="G23:H23"/>
    <mergeCell ref="I23:J23"/>
    <mergeCell ref="B24:D24"/>
    <mergeCell ref="G24:H24"/>
    <mergeCell ref="I24:J24"/>
    <mergeCell ref="B21:F21"/>
    <mergeCell ref="G21:H21"/>
    <mergeCell ref="I21:J21"/>
    <mergeCell ref="B22:F22"/>
    <mergeCell ref="G22:H22"/>
    <mergeCell ref="I22:J22"/>
    <mergeCell ref="B19:F19"/>
    <mergeCell ref="G19:H19"/>
    <mergeCell ref="I19:J19"/>
    <mergeCell ref="B20:F20"/>
    <mergeCell ref="G20:H20"/>
    <mergeCell ref="I20:J20"/>
    <mergeCell ref="B17:F17"/>
    <mergeCell ref="G17:H17"/>
    <mergeCell ref="I17:J17"/>
    <mergeCell ref="A18:D18"/>
    <mergeCell ref="G18:H18"/>
    <mergeCell ref="I18:J18"/>
    <mergeCell ref="B15:F15"/>
    <mergeCell ref="G15:H15"/>
    <mergeCell ref="I15:J15"/>
    <mergeCell ref="B16:F16"/>
    <mergeCell ref="G16:H16"/>
    <mergeCell ref="I16:J16"/>
    <mergeCell ref="B13:F13"/>
    <mergeCell ref="G13:H13"/>
    <mergeCell ref="I13:J13"/>
    <mergeCell ref="B14:F14"/>
    <mergeCell ref="G14:H14"/>
    <mergeCell ref="I14:J14"/>
    <mergeCell ref="A10:F10"/>
    <mergeCell ref="G10:H10"/>
    <mergeCell ref="I10:J10"/>
    <mergeCell ref="G12:H12"/>
    <mergeCell ref="I12:J12"/>
    <mergeCell ref="G8:H8"/>
    <mergeCell ref="I8:J8"/>
    <mergeCell ref="A9:E9"/>
    <mergeCell ref="G9:H9"/>
    <mergeCell ref="I9:J9"/>
    <mergeCell ref="B1:F1"/>
    <mergeCell ref="H1:J1"/>
    <mergeCell ref="B2:J2"/>
    <mergeCell ref="H4:I4"/>
    <mergeCell ref="A5:J5"/>
  </mergeCells>
  <phoneticPr fontId="28" type="noConversion"/>
  <pageMargins left="0.47152777777777799" right="0.47152777777777799" top="0.98402777777777795" bottom="0.98402777777777795" header="0.51180555555555596" footer="0.51180555555555596"/>
  <pageSetup paperSize="9" orientation="portrait" blackAndWhite="1"/>
  <headerFooter alignWithMargins="0">
    <oddFooter>&amp;L&amp;"仿宋_GB2312,常规"&amp;9实施日期：2019年8月20日&amp;R&amp;"仿宋_GB2312,常规"&amp;9第1 页 共 1 页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2"/>
  <sheetViews>
    <sheetView workbookViewId="0">
      <selection activeCell="H26" sqref="H26"/>
    </sheetView>
  </sheetViews>
  <sheetFormatPr baseColWidth="10" defaultColWidth="9" defaultRowHeight="15"/>
  <cols>
    <col min="1" max="1" width="15.33203125" style="7" customWidth="1"/>
    <col min="2" max="2" width="14.6640625" style="7" customWidth="1"/>
    <col min="3" max="3" width="15.6640625" style="7" customWidth="1"/>
    <col min="4" max="4" width="13.83203125" style="7" customWidth="1"/>
    <col min="5" max="5" width="5" style="7" customWidth="1"/>
    <col min="6" max="6" width="12.6640625" style="7" customWidth="1"/>
    <col min="7" max="7" width="15" style="7" customWidth="1"/>
    <col min="8" max="8" width="14.33203125" style="7" customWidth="1"/>
    <col min="9" max="9" width="24.6640625" style="7" customWidth="1"/>
    <col min="10" max="10" width="12" style="7" customWidth="1"/>
    <col min="11" max="16384" width="9" style="7"/>
  </cols>
  <sheetData>
    <row r="1" spans="1:10" ht="15" customHeight="1">
      <c r="A1" s="558" t="s">
        <v>270</v>
      </c>
      <c r="B1" s="558"/>
      <c r="C1" s="558"/>
      <c r="D1" s="558"/>
      <c r="E1" s="558"/>
      <c r="F1" s="558"/>
      <c r="G1" s="558"/>
      <c r="H1" s="558"/>
      <c r="I1" s="558"/>
      <c r="J1" s="36"/>
    </row>
    <row r="2" spans="1:10" ht="15" customHeight="1">
      <c r="A2" s="559" t="s">
        <v>271</v>
      </c>
      <c r="B2" s="559"/>
      <c r="C2" s="559"/>
      <c r="D2" s="8"/>
      <c r="E2" s="28" t="s">
        <v>272</v>
      </c>
      <c r="F2" s="8"/>
      <c r="G2" s="559" t="s">
        <v>273</v>
      </c>
      <c r="H2" s="559"/>
      <c r="I2" s="559"/>
      <c r="J2" s="36"/>
    </row>
    <row r="3" spans="1:10" ht="16">
      <c r="A3" s="9" t="e">
        <f>水尺计算初次!C13/(水尺计算初次!C14-水尺计算初次!C15-水尺计算初次!C17)*水尺计算初次!C15</f>
        <v>#VALUE!</v>
      </c>
      <c r="B3" s="10" t="e">
        <f>ABS(ROUND(A3,3))</f>
        <v>#VALUE!</v>
      </c>
      <c r="C3" s="11" t="s">
        <v>274</v>
      </c>
      <c r="D3" s="12"/>
      <c r="E3" s="12"/>
      <c r="F3" s="12"/>
      <c r="G3" s="9" t="e">
        <f>水尺计算末次!C13/(水尺计算末次!C14-水尺计算末次!C15-水尺计算末次!C17)*水尺计算末次!C15</f>
        <v>#VALUE!</v>
      </c>
      <c r="H3" s="10" t="e">
        <f>ABS(ROUND(G3,3))</f>
        <v>#VALUE!</v>
      </c>
      <c r="I3" s="11" t="s">
        <v>274</v>
      </c>
    </row>
    <row r="4" spans="1:10" ht="16">
      <c r="A4" s="9" t="e">
        <f>水尺计算初次!C13/(水尺计算初次!C14-水尺计算初次!C15-水尺计算初次!C17)*水尺计算初次!C16</f>
        <v>#VALUE!</v>
      </c>
      <c r="B4" s="10" t="e">
        <f>ABS(ROUND(A4,3))</f>
        <v>#VALUE!</v>
      </c>
      <c r="C4" s="11" t="s">
        <v>275</v>
      </c>
      <c r="D4" s="12"/>
      <c r="E4" s="12"/>
      <c r="F4" s="12"/>
      <c r="G4" s="9" t="e">
        <f>水尺计算末次!C13/(水尺计算末次!C14-水尺计算末次!C15-水尺计算末次!C17)*水尺计算末次!C16</f>
        <v>#VALUE!</v>
      </c>
      <c r="H4" s="10" t="e">
        <f>ABS(ROUND(G4,3))</f>
        <v>#VALUE!</v>
      </c>
      <c r="I4" s="11" t="s">
        <v>275</v>
      </c>
    </row>
    <row r="5" spans="1:10" ht="16">
      <c r="A5" s="9" t="e">
        <f>水尺计算初次!C13/(水尺计算初次!C14-水尺计算初次!C15-水尺计算初次!C17)*水尺计算初次!C17</f>
        <v>#VALUE!</v>
      </c>
      <c r="B5" s="10" t="e">
        <f>ABS(ROUND(A5,3))</f>
        <v>#VALUE!</v>
      </c>
      <c r="C5" s="11" t="s">
        <v>276</v>
      </c>
      <c r="D5" s="12"/>
      <c r="E5" s="29">
        <v>3</v>
      </c>
      <c r="F5" s="12"/>
      <c r="G5" s="9" t="e">
        <f>水尺计算末次!C13/(水尺计算末次!C14-水尺计算末次!C15-水尺计算末次!C17)*水尺计算末次!C17</f>
        <v>#VALUE!</v>
      </c>
      <c r="H5" s="10" t="e">
        <f>ABS(ROUND(G5,3))</f>
        <v>#VALUE!</v>
      </c>
      <c r="I5" s="11" t="s">
        <v>276</v>
      </c>
    </row>
    <row r="6" spans="1:10" ht="16">
      <c r="A6" s="13" t="e">
        <f>ROUND(水尺计算初次!S15/2+水尺计算初次!S17/2,4)</f>
        <v>#VALUE!</v>
      </c>
      <c r="B6" s="14" t="e">
        <f>ROUND(A6,$E$5)-(MOD(A6*10^($E$5+1),20)=5)*10^(-$E$5)</f>
        <v>#VALUE!</v>
      </c>
      <c r="C6" s="11" t="s">
        <v>277</v>
      </c>
      <c r="D6" s="15"/>
      <c r="E6" s="29"/>
      <c r="F6" s="30"/>
      <c r="G6" s="13" t="e">
        <f>ROUND(水尺计算末次!S15/2+水尺计算末次!S17/2,4)</f>
        <v>#VALUE!</v>
      </c>
      <c r="H6" s="14" t="e">
        <f>ROUND(G6,$E$5)-(MOD(G6*10^($E$5+1),20)=5)*10^(-$E$5)</f>
        <v>#VALUE!</v>
      </c>
      <c r="I6" s="11" t="s">
        <v>277</v>
      </c>
    </row>
    <row r="7" spans="1:10" ht="16">
      <c r="A7" s="13" t="e">
        <f>ROUND(水尺计算初次!AB24/2+水尺计算初次!AC24/2,4)</f>
        <v>#VALUE!</v>
      </c>
      <c r="B7" s="14" t="e">
        <f>ROUND(A7,$E$5)-(MOD(A7*10^($E$5+1),20)=5)*10^(-$E$5)</f>
        <v>#VALUE!</v>
      </c>
      <c r="C7" s="11" t="s">
        <v>278</v>
      </c>
      <c r="D7" s="15"/>
      <c r="E7" s="29"/>
      <c r="F7" s="30"/>
      <c r="G7" s="13" t="e">
        <f>ROUND(水尺计算末次!AB24/2+水尺计算末次!AC24/2,4)</f>
        <v>#VALUE!</v>
      </c>
      <c r="H7" s="14" t="e">
        <f>ROUND(G7,$E$5)-(MOD(G7*10^($E$5+1),20)=5)*10^(-$E$5)</f>
        <v>#VALUE!</v>
      </c>
      <c r="I7" s="11" t="s">
        <v>278</v>
      </c>
    </row>
    <row r="8" spans="1:10" ht="16">
      <c r="A8" s="13" t="e">
        <f>ROUND(水尺计算初次!AB24/2+水尺计算初次!AD24/2,4)</f>
        <v>#VALUE!</v>
      </c>
      <c r="B8" s="14" t="e">
        <f>ROUND(A8,$E$5)-(MOD(A8*10^($E$5+1),20)=5)*10^(-$E$5)</f>
        <v>#VALUE!</v>
      </c>
      <c r="C8" s="11" t="s">
        <v>279</v>
      </c>
      <c r="D8" s="12"/>
      <c r="E8" s="29"/>
      <c r="F8" s="12"/>
      <c r="G8" s="13" t="e">
        <f>ROUND(水尺计算末次!AB24/2+水尺计算末次!AD24/2,4)</f>
        <v>#VALUE!</v>
      </c>
      <c r="H8" s="14" t="e">
        <f>ROUND(G8,$E$5)-(MOD(G8*10^($E$5+1),20)=5)*10^(-$E$5)</f>
        <v>#VALUE!</v>
      </c>
      <c r="I8" s="11" t="s">
        <v>279</v>
      </c>
    </row>
    <row r="9" spans="1:10" ht="16">
      <c r="A9" s="9" t="e">
        <f>水尺计算初次!AE19</f>
        <v>#VALUE!</v>
      </c>
      <c r="B9" s="16" t="e">
        <f>ROUND(A9,1)</f>
        <v>#VALUE!</v>
      </c>
      <c r="C9" s="11" t="s">
        <v>280</v>
      </c>
      <c r="D9" s="12"/>
      <c r="E9" s="31"/>
      <c r="F9" s="12"/>
      <c r="G9" s="9" t="e">
        <f>水尺计算末次!AE19</f>
        <v>#VALUE!</v>
      </c>
      <c r="H9" s="16" t="e">
        <f>ROUND(G9,1)</f>
        <v>#VALUE!</v>
      </c>
      <c r="I9" s="11" t="s">
        <v>280</v>
      </c>
    </row>
    <row r="10" spans="1:10" ht="16">
      <c r="A10" s="9" t="e">
        <f>水尺计算初次!C18*水尺计算初次!B21*水尺计算初次!G21*100/水尺计算初次!C14</f>
        <v>#VALUE!</v>
      </c>
      <c r="B10" s="16" t="e">
        <f t="shared" ref="B10:B15" si="0">ROUND(A10,1)</f>
        <v>#VALUE!</v>
      </c>
      <c r="C10" s="11" t="s">
        <v>281</v>
      </c>
      <c r="D10" s="12"/>
      <c r="E10" s="31"/>
      <c r="F10" s="12"/>
      <c r="G10" s="9" t="e">
        <f>水尺计算末次!C18*水尺计算末次!B21*水尺计算末次!G21*100/水尺计算末次!C14</f>
        <v>#VALUE!</v>
      </c>
      <c r="H10" s="16" t="e">
        <f t="shared" ref="H10:H15" si="1">ROUND(G10,1)</f>
        <v>#VALUE!</v>
      </c>
      <c r="I10" s="11" t="s">
        <v>281</v>
      </c>
    </row>
    <row r="11" spans="1:10" ht="16">
      <c r="A11" s="9" t="e">
        <f>水尺计算初次!C18*水尺计算初次!C18*50*水尺计算初次!T21/水尺计算初次!C14</f>
        <v>#VALUE!</v>
      </c>
      <c r="B11" s="16" t="e">
        <f t="shared" si="0"/>
        <v>#VALUE!</v>
      </c>
      <c r="C11" s="11" t="s">
        <v>282</v>
      </c>
      <c r="D11" s="12"/>
      <c r="E11" s="31"/>
      <c r="F11" s="12"/>
      <c r="G11" s="9" t="e">
        <f>水尺计算末次!C18*水尺计算末次!C18*水尺计算末次!T21*50/水尺计算末次!C14</f>
        <v>#VALUE!</v>
      </c>
      <c r="H11" s="16" t="e">
        <f t="shared" si="1"/>
        <v>#VALUE!</v>
      </c>
      <c r="I11" s="11" t="s">
        <v>282</v>
      </c>
    </row>
    <row r="12" spans="1:10" ht="16">
      <c r="A12" s="9" t="e">
        <f>B9+B10+B11</f>
        <v>#VALUE!</v>
      </c>
      <c r="B12" s="16" t="e">
        <f t="shared" si="0"/>
        <v>#VALUE!</v>
      </c>
      <c r="C12" s="11" t="s">
        <v>283</v>
      </c>
      <c r="D12" s="12"/>
      <c r="E12" s="31"/>
      <c r="F12" s="12"/>
      <c r="G12" s="9" t="e">
        <f>H9+H10+H11</f>
        <v>#VALUE!</v>
      </c>
      <c r="H12" s="16" t="e">
        <f t="shared" si="1"/>
        <v>#VALUE!</v>
      </c>
      <c r="I12" s="11" t="s">
        <v>283</v>
      </c>
    </row>
    <row r="13" spans="1:10" ht="16">
      <c r="A13" s="9"/>
      <c r="B13" s="16" t="e">
        <f>B14-B12</f>
        <v>#VALUE!</v>
      </c>
      <c r="C13" s="11" t="s">
        <v>284</v>
      </c>
      <c r="D13" s="12"/>
      <c r="E13" s="31"/>
      <c r="F13" s="12"/>
      <c r="G13" s="9"/>
      <c r="H13" s="16" t="e">
        <f>H14-H12</f>
        <v>#VALUE!</v>
      </c>
      <c r="I13" s="11" t="s">
        <v>284</v>
      </c>
    </row>
    <row r="14" spans="1:10" ht="16">
      <c r="A14" s="9" t="e">
        <f>水尺计算初次!L25/水尺计算初次!D25*'计算用，请勿动！'!B12</f>
        <v>#VALUE!</v>
      </c>
      <c r="B14" s="16" t="e">
        <f t="shared" si="0"/>
        <v>#VALUE!</v>
      </c>
      <c r="C14" s="11" t="s">
        <v>285</v>
      </c>
      <c r="D14" s="12"/>
      <c r="E14" s="31"/>
      <c r="F14" s="12"/>
      <c r="G14" s="9" t="e">
        <f>水尺计算末次!L25/水尺计算末次!D25*'计算用，请勿动！'!H12</f>
        <v>#VALUE!</v>
      </c>
      <c r="H14" s="16" t="e">
        <f t="shared" si="1"/>
        <v>#VALUE!</v>
      </c>
      <c r="I14" s="11" t="s">
        <v>285</v>
      </c>
    </row>
    <row r="15" spans="1:10" ht="16">
      <c r="A15" s="17" t="e">
        <f>压载水!B42</f>
        <v>#VALUE!</v>
      </c>
      <c r="B15" s="16" t="e">
        <f t="shared" si="0"/>
        <v>#VALUE!</v>
      </c>
      <c r="C15" s="11" t="s">
        <v>286</v>
      </c>
      <c r="D15" s="12"/>
      <c r="E15" s="31"/>
      <c r="F15" s="12"/>
      <c r="G15" s="17" t="e">
        <f>压载水!H42</f>
        <v>#VALUE!</v>
      </c>
      <c r="H15" s="16" t="e">
        <f t="shared" si="1"/>
        <v>#VALUE!</v>
      </c>
      <c r="I15" s="11" t="s">
        <v>286</v>
      </c>
    </row>
    <row r="16" spans="1:10" ht="16">
      <c r="A16" s="18"/>
      <c r="B16" s="19">
        <f>水尺计算初次!T28</f>
        <v>0</v>
      </c>
      <c r="C16" s="11" t="s">
        <v>287</v>
      </c>
      <c r="D16" s="20"/>
      <c r="E16" s="32"/>
      <c r="F16" s="20"/>
      <c r="G16" s="11"/>
      <c r="H16" s="16">
        <f>水尺计算末次!T28</f>
        <v>0</v>
      </c>
      <c r="I16" s="11" t="s">
        <v>287</v>
      </c>
    </row>
    <row r="17" spans="1:9" ht="16">
      <c r="A17" s="18"/>
      <c r="B17" s="19">
        <f>水尺计算初次!L28</f>
        <v>0</v>
      </c>
      <c r="C17" s="11" t="s">
        <v>288</v>
      </c>
      <c r="D17" s="20"/>
      <c r="E17" s="32"/>
      <c r="F17" s="20"/>
      <c r="G17" s="11"/>
      <c r="H17" s="11">
        <f>水尺计算末次!L28</f>
        <v>0</v>
      </c>
      <c r="I17" s="11" t="s">
        <v>288</v>
      </c>
    </row>
    <row r="18" spans="1:9" ht="16">
      <c r="A18" s="18"/>
      <c r="B18" s="19" t="e">
        <f>B15+B16+B17</f>
        <v>#VALUE!</v>
      </c>
      <c r="C18" s="11" t="s">
        <v>289</v>
      </c>
      <c r="D18" s="20"/>
      <c r="E18" s="32"/>
      <c r="F18" s="20"/>
      <c r="G18" s="11"/>
      <c r="H18" s="19" t="e">
        <f>H15+H16+H17</f>
        <v>#VALUE!</v>
      </c>
      <c r="I18" s="11" t="s">
        <v>290</v>
      </c>
    </row>
    <row r="19" spans="1:9" ht="16">
      <c r="A19" s="18"/>
      <c r="B19" s="19" t="e">
        <f>B14-B18</f>
        <v>#VALUE!</v>
      </c>
      <c r="C19" s="11" t="s">
        <v>291</v>
      </c>
      <c r="D19" s="20"/>
      <c r="E19" s="32"/>
      <c r="F19" s="20"/>
      <c r="G19" s="11"/>
      <c r="H19" s="19" t="e">
        <f>H14-H18</f>
        <v>#VALUE!</v>
      </c>
      <c r="I19" s="11" t="s">
        <v>291</v>
      </c>
    </row>
    <row r="20" spans="1:9" ht="16">
      <c r="A20" s="21"/>
      <c r="B20" s="22"/>
      <c r="C20" s="23" t="s">
        <v>292</v>
      </c>
      <c r="D20" s="24" t="e">
        <f>ABS(B19-H19)</f>
        <v>#VALUE!</v>
      </c>
      <c r="E20" s="33">
        <v>0</v>
      </c>
      <c r="F20" s="34" t="e">
        <f>ROUND(D20,$E$20)-(MOD(D20*10^($E$20+1),20)=5)*10^(-$E$20)</f>
        <v>#VALUE!</v>
      </c>
      <c r="G20" s="35"/>
      <c r="H20" s="23"/>
      <c r="I20" s="23"/>
    </row>
    <row r="21" spans="1:9">
      <c r="A21" s="25"/>
      <c r="B21" s="26"/>
    </row>
    <row r="22" spans="1:9">
      <c r="A22" s="25"/>
      <c r="B22" s="27"/>
      <c r="C22"/>
    </row>
    <row r="23" spans="1:9">
      <c r="A23" s="25"/>
      <c r="B23" s="27"/>
    </row>
    <row r="24" spans="1:9">
      <c r="A24" s="25"/>
      <c r="B24" s="27"/>
    </row>
    <row r="25" spans="1:9">
      <c r="A25" s="25"/>
      <c r="B25" s="27"/>
    </row>
    <row r="26" spans="1:9">
      <c r="A26" s="25"/>
      <c r="B26" s="27"/>
    </row>
    <row r="27" spans="1:9">
      <c r="A27" s="25"/>
      <c r="B27" s="27"/>
    </row>
    <row r="28" spans="1:9">
      <c r="A28" s="25"/>
      <c r="B28" s="27"/>
    </row>
    <row r="29" spans="1:9">
      <c r="A29" s="25"/>
      <c r="B29" s="27"/>
    </row>
    <row r="30" spans="1:9">
      <c r="A30" s="25"/>
      <c r="B30" s="27"/>
    </row>
    <row r="31" spans="1:9">
      <c r="A31" s="25"/>
      <c r="B31" s="27"/>
    </row>
    <row r="32" spans="1:9">
      <c r="A32" s="25"/>
      <c r="B32" s="27"/>
    </row>
  </sheetData>
  <sheetProtection password="CC3D" sheet="1"/>
  <mergeCells count="3">
    <mergeCell ref="A1:I1"/>
    <mergeCell ref="A2:C2"/>
    <mergeCell ref="G2:I2"/>
  </mergeCells>
  <phoneticPr fontId="28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8"/>
  <sheetViews>
    <sheetView zoomScale="144" zoomScaleNormal="144" workbookViewId="0">
      <selection activeCell="L10" sqref="L10"/>
    </sheetView>
  </sheetViews>
  <sheetFormatPr baseColWidth="10" defaultColWidth="9" defaultRowHeight="15"/>
  <sheetData>
    <row r="1" spans="1:9" ht="48" customHeight="1">
      <c r="A1" s="560" t="s">
        <v>293</v>
      </c>
      <c r="B1" s="561"/>
      <c r="C1" s="561"/>
      <c r="D1" s="561"/>
      <c r="E1" s="561"/>
      <c r="F1" s="561"/>
      <c r="G1" s="561"/>
      <c r="H1" s="561"/>
      <c r="I1" s="562"/>
    </row>
    <row r="2" spans="1:9" ht="16">
      <c r="A2" s="563" t="s">
        <v>294</v>
      </c>
      <c r="B2" s="564"/>
      <c r="C2" s="564"/>
      <c r="D2" s="564"/>
      <c r="E2" s="564"/>
      <c r="F2" s="564"/>
      <c r="G2" s="564"/>
      <c r="H2" s="564"/>
      <c r="I2" s="565"/>
    </row>
    <row r="3" spans="1:9" ht="30" customHeight="1">
      <c r="A3" s="566" t="s">
        <v>295</v>
      </c>
      <c r="B3" s="567"/>
      <c r="C3" s="567"/>
      <c r="D3" s="567"/>
      <c r="E3" s="567"/>
      <c r="F3" s="567"/>
      <c r="G3" s="567"/>
      <c r="H3" s="567"/>
      <c r="I3" s="568"/>
    </row>
    <row r="4" spans="1:9" ht="16">
      <c r="A4" s="563" t="s">
        <v>296</v>
      </c>
      <c r="B4" s="564"/>
      <c r="C4" s="564"/>
      <c r="D4" s="564"/>
      <c r="E4" s="564"/>
      <c r="F4" s="564"/>
      <c r="G4" s="564"/>
      <c r="H4" s="564"/>
      <c r="I4" s="565"/>
    </row>
    <row r="5" spans="1:9" ht="31.5" customHeight="1">
      <c r="A5" s="566" t="s">
        <v>297</v>
      </c>
      <c r="B5" s="567"/>
      <c r="C5" s="567"/>
      <c r="D5" s="567"/>
      <c r="E5" s="567"/>
      <c r="F5" s="567"/>
      <c r="G5" s="567"/>
      <c r="H5" s="567"/>
      <c r="I5" s="568"/>
    </row>
    <row r="6" spans="1:9" ht="33.75" customHeight="1">
      <c r="A6" s="566" t="s">
        <v>298</v>
      </c>
      <c r="B6" s="567"/>
      <c r="C6" s="567"/>
      <c r="D6" s="567"/>
      <c r="E6" s="567"/>
      <c r="F6" s="567"/>
      <c r="G6" s="567"/>
      <c r="H6" s="567"/>
      <c r="I6" s="568"/>
    </row>
    <row r="7" spans="1:9" ht="33" customHeight="1">
      <c r="A7" s="566" t="s">
        <v>299</v>
      </c>
      <c r="B7" s="567"/>
      <c r="C7" s="567"/>
      <c r="D7" s="567"/>
      <c r="E7" s="567"/>
      <c r="F7" s="567"/>
      <c r="G7" s="567"/>
      <c r="H7" s="567"/>
      <c r="I7" s="568"/>
    </row>
    <row r="8" spans="1:9" ht="33.75" customHeight="1">
      <c r="A8" s="566" t="s">
        <v>300</v>
      </c>
      <c r="B8" s="567"/>
      <c r="C8" s="567"/>
      <c r="D8" s="567"/>
      <c r="E8" s="567"/>
      <c r="F8" s="567"/>
      <c r="G8" s="567"/>
      <c r="H8" s="567"/>
      <c r="I8" s="568"/>
    </row>
    <row r="9" spans="1:9" ht="49.5" customHeight="1">
      <c r="A9" s="566" t="s">
        <v>301</v>
      </c>
      <c r="B9" s="567"/>
      <c r="C9" s="567"/>
      <c r="D9" s="567"/>
      <c r="E9" s="567"/>
      <c r="F9" s="567"/>
      <c r="G9" s="567"/>
      <c r="H9" s="567"/>
      <c r="I9" s="568"/>
    </row>
    <row r="10" spans="1:9" ht="16">
      <c r="A10" s="563" t="s">
        <v>302</v>
      </c>
      <c r="B10" s="564"/>
      <c r="C10" s="564"/>
      <c r="D10" s="564"/>
      <c r="E10" s="564"/>
      <c r="F10" s="564"/>
      <c r="G10" s="564"/>
      <c r="H10" s="564"/>
      <c r="I10" s="565"/>
    </row>
    <row r="11" spans="1:9" ht="16">
      <c r="A11" s="563"/>
      <c r="B11" s="564"/>
      <c r="C11" s="564"/>
      <c r="D11" s="564"/>
      <c r="E11" s="564"/>
      <c r="F11" s="564"/>
      <c r="G11" s="564"/>
      <c r="H11" s="564"/>
      <c r="I11" s="565"/>
    </row>
    <row r="12" spans="1:9">
      <c r="A12" s="569"/>
      <c r="B12" s="570"/>
      <c r="C12" s="570"/>
      <c r="D12" s="570"/>
      <c r="E12" s="570"/>
      <c r="F12" s="570"/>
      <c r="G12" s="570"/>
      <c r="H12" s="570"/>
      <c r="I12" s="571"/>
    </row>
    <row r="13" spans="1:9">
      <c r="A13" s="569"/>
      <c r="B13" s="570"/>
      <c r="C13" s="570"/>
      <c r="D13" s="570"/>
      <c r="E13" s="570"/>
      <c r="F13" s="570"/>
      <c r="G13" s="570"/>
      <c r="H13" s="570"/>
      <c r="I13" s="571"/>
    </row>
    <row r="14" spans="1:9">
      <c r="A14" s="569"/>
      <c r="B14" s="570"/>
      <c r="C14" s="570"/>
      <c r="D14" s="570"/>
      <c r="E14" s="570"/>
      <c r="F14" s="570"/>
      <c r="G14" s="570"/>
      <c r="H14" s="570"/>
      <c r="I14" s="571"/>
    </row>
    <row r="15" spans="1:9">
      <c r="A15" s="569"/>
      <c r="B15" s="570"/>
      <c r="C15" s="570"/>
      <c r="D15" s="570"/>
      <c r="E15" s="570"/>
      <c r="F15" s="570"/>
      <c r="G15" s="570"/>
      <c r="H15" s="570"/>
      <c r="I15" s="571"/>
    </row>
    <row r="16" spans="1:9">
      <c r="A16" s="569"/>
      <c r="B16" s="570"/>
      <c r="C16" s="570"/>
      <c r="D16" s="570"/>
      <c r="E16" s="570"/>
      <c r="F16" s="570"/>
      <c r="G16" s="570"/>
      <c r="H16" s="570"/>
      <c r="I16" s="571"/>
    </row>
    <row r="17" spans="1:9">
      <c r="A17" s="569"/>
      <c r="B17" s="570"/>
      <c r="C17" s="570"/>
      <c r="D17" s="570"/>
      <c r="E17" s="570"/>
      <c r="F17" s="570"/>
      <c r="G17" s="570"/>
      <c r="H17" s="570"/>
      <c r="I17" s="571"/>
    </row>
    <row r="18" spans="1:9">
      <c r="A18" s="569"/>
      <c r="B18" s="570"/>
      <c r="C18" s="570"/>
      <c r="D18" s="570"/>
      <c r="E18" s="570"/>
      <c r="F18" s="570"/>
      <c r="G18" s="570"/>
      <c r="H18" s="570"/>
      <c r="I18" s="571"/>
    </row>
    <row r="19" spans="1:9">
      <c r="A19" s="569"/>
      <c r="B19" s="570"/>
      <c r="C19" s="570"/>
      <c r="D19" s="570"/>
      <c r="E19" s="570"/>
      <c r="F19" s="570"/>
      <c r="G19" s="570"/>
      <c r="H19" s="570"/>
      <c r="I19" s="571"/>
    </row>
    <row r="20" spans="1:9">
      <c r="A20" s="569"/>
      <c r="B20" s="570"/>
      <c r="C20" s="570"/>
      <c r="D20" s="570"/>
      <c r="E20" s="570"/>
      <c r="F20" s="570"/>
      <c r="G20" s="570"/>
      <c r="H20" s="570"/>
      <c r="I20" s="571"/>
    </row>
    <row r="21" spans="1:9">
      <c r="A21" s="569"/>
      <c r="B21" s="570"/>
      <c r="C21" s="570"/>
      <c r="D21" s="570"/>
      <c r="E21" s="570"/>
      <c r="F21" s="570"/>
      <c r="G21" s="570"/>
      <c r="H21" s="570"/>
      <c r="I21" s="571"/>
    </row>
    <row r="22" spans="1:9">
      <c r="A22" s="569"/>
      <c r="B22" s="570"/>
      <c r="C22" s="570"/>
      <c r="D22" s="570"/>
      <c r="E22" s="570"/>
      <c r="F22" s="570"/>
      <c r="G22" s="570"/>
      <c r="H22" s="570"/>
      <c r="I22" s="571"/>
    </row>
    <row r="23" spans="1:9">
      <c r="A23" s="569"/>
      <c r="B23" s="570"/>
      <c r="C23" s="570"/>
      <c r="D23" s="570"/>
      <c r="E23" s="570"/>
      <c r="F23" s="570"/>
      <c r="G23" s="570"/>
      <c r="H23" s="570"/>
      <c r="I23" s="571"/>
    </row>
    <row r="24" spans="1:9">
      <c r="A24" s="569"/>
      <c r="B24" s="570"/>
      <c r="C24" s="570"/>
      <c r="D24" s="570"/>
      <c r="E24" s="570"/>
      <c r="F24" s="570"/>
      <c r="G24" s="570"/>
      <c r="H24" s="570"/>
      <c r="I24" s="571"/>
    </row>
    <row r="25" spans="1:9">
      <c r="A25" s="569"/>
      <c r="B25" s="570"/>
      <c r="C25" s="570"/>
      <c r="D25" s="570"/>
      <c r="E25" s="570"/>
      <c r="F25" s="570"/>
      <c r="G25" s="570"/>
      <c r="H25" s="570"/>
      <c r="I25" s="571"/>
    </row>
    <row r="26" spans="1:9">
      <c r="A26" s="569"/>
      <c r="B26" s="570"/>
      <c r="C26" s="570"/>
      <c r="D26" s="570"/>
      <c r="E26" s="570"/>
      <c r="F26" s="570"/>
      <c r="G26" s="570"/>
      <c r="H26" s="570"/>
      <c r="I26" s="571"/>
    </row>
    <row r="27" spans="1:9">
      <c r="A27" s="569"/>
      <c r="B27" s="570"/>
      <c r="C27" s="570"/>
      <c r="D27" s="570"/>
      <c r="E27" s="570"/>
      <c r="F27" s="570"/>
      <c r="G27" s="570"/>
      <c r="H27" s="570"/>
      <c r="I27" s="571"/>
    </row>
    <row r="28" spans="1:9">
      <c r="A28" s="569"/>
      <c r="B28" s="570"/>
      <c r="C28" s="570"/>
      <c r="D28" s="570"/>
      <c r="E28" s="570"/>
      <c r="F28" s="570"/>
      <c r="G28" s="570"/>
      <c r="H28" s="570"/>
      <c r="I28" s="571"/>
    </row>
    <row r="29" spans="1:9">
      <c r="A29" s="569"/>
      <c r="B29" s="570"/>
      <c r="C29" s="570"/>
      <c r="D29" s="570"/>
      <c r="E29" s="570"/>
      <c r="F29" s="570"/>
      <c r="G29" s="570"/>
      <c r="H29" s="570"/>
      <c r="I29" s="571"/>
    </row>
    <row r="30" spans="1:9">
      <c r="A30" s="569"/>
      <c r="B30" s="570"/>
      <c r="C30" s="570"/>
      <c r="D30" s="570"/>
      <c r="E30" s="570"/>
      <c r="F30" s="570"/>
      <c r="G30" s="570"/>
      <c r="H30" s="570"/>
      <c r="I30" s="571"/>
    </row>
    <row r="31" spans="1:9">
      <c r="A31" s="569"/>
      <c r="B31" s="570"/>
      <c r="C31" s="570"/>
      <c r="D31" s="570"/>
      <c r="E31" s="570"/>
      <c r="F31" s="570"/>
      <c r="G31" s="570"/>
      <c r="H31" s="570"/>
      <c r="I31" s="571"/>
    </row>
    <row r="32" spans="1:9">
      <c r="A32" s="569"/>
      <c r="B32" s="570"/>
      <c r="C32" s="570"/>
      <c r="D32" s="570"/>
      <c r="E32" s="570"/>
      <c r="F32" s="570"/>
      <c r="G32" s="570"/>
      <c r="H32" s="570"/>
      <c r="I32" s="571"/>
    </row>
    <row r="33" spans="1:9">
      <c r="A33" s="569"/>
      <c r="B33" s="570"/>
      <c r="C33" s="570"/>
      <c r="D33" s="570"/>
      <c r="E33" s="570"/>
      <c r="F33" s="570"/>
      <c r="G33" s="570"/>
      <c r="H33" s="570"/>
      <c r="I33" s="571"/>
    </row>
    <row r="34" spans="1:9">
      <c r="A34" s="569"/>
      <c r="B34" s="570"/>
      <c r="C34" s="570"/>
      <c r="D34" s="570"/>
      <c r="E34" s="570"/>
      <c r="F34" s="570"/>
      <c r="G34" s="570"/>
      <c r="H34" s="570"/>
      <c r="I34" s="571"/>
    </row>
    <row r="35" spans="1:9">
      <c r="A35" s="569"/>
      <c r="B35" s="570"/>
      <c r="C35" s="570"/>
      <c r="D35" s="570"/>
      <c r="E35" s="570"/>
      <c r="F35" s="570"/>
      <c r="G35" s="570"/>
      <c r="H35" s="570"/>
      <c r="I35" s="571"/>
    </row>
    <row r="36" spans="1:9">
      <c r="A36" s="1"/>
      <c r="B36" s="2"/>
      <c r="C36" s="2"/>
      <c r="D36" s="2"/>
      <c r="E36" s="2"/>
      <c r="F36" s="2"/>
      <c r="G36" s="2"/>
      <c r="H36" s="2"/>
      <c r="I36" s="5"/>
    </row>
    <row r="37" spans="1:9">
      <c r="A37" s="1"/>
      <c r="B37" s="2"/>
      <c r="C37" s="2"/>
      <c r="D37" s="2"/>
      <c r="E37" s="2"/>
      <c r="F37" s="2"/>
      <c r="G37" s="2"/>
      <c r="H37" s="2"/>
      <c r="I37" s="5"/>
    </row>
    <row r="38" spans="1:9">
      <c r="A38" s="3"/>
      <c r="B38" s="4"/>
      <c r="C38" s="4"/>
      <c r="D38" s="4"/>
      <c r="E38" s="4"/>
      <c r="F38" s="4"/>
      <c r="G38" s="4"/>
      <c r="H38" s="4"/>
      <c r="I38" s="6"/>
    </row>
  </sheetData>
  <sheetProtection password="CC3D" sheet="1" objects="1" scenarios="1"/>
  <mergeCells count="35">
    <mergeCell ref="A31:I31"/>
    <mergeCell ref="A32:I32"/>
    <mergeCell ref="A33:I33"/>
    <mergeCell ref="A34:I34"/>
    <mergeCell ref="A35:I35"/>
    <mergeCell ref="A26:I26"/>
    <mergeCell ref="A27:I27"/>
    <mergeCell ref="A28:I28"/>
    <mergeCell ref="A29:I29"/>
    <mergeCell ref="A30:I30"/>
    <mergeCell ref="A21:I21"/>
    <mergeCell ref="A22:I22"/>
    <mergeCell ref="A23:I23"/>
    <mergeCell ref="A24:I24"/>
    <mergeCell ref="A25:I25"/>
    <mergeCell ref="A16:I16"/>
    <mergeCell ref="A17:I17"/>
    <mergeCell ref="A18:I18"/>
    <mergeCell ref="A19:I19"/>
    <mergeCell ref="A20:I20"/>
    <mergeCell ref="A11:I11"/>
    <mergeCell ref="A12:I12"/>
    <mergeCell ref="A13:I13"/>
    <mergeCell ref="A14:I14"/>
    <mergeCell ref="A15:I15"/>
    <mergeCell ref="A6:I6"/>
    <mergeCell ref="A7:I7"/>
    <mergeCell ref="A8:I8"/>
    <mergeCell ref="A9:I9"/>
    <mergeCell ref="A10:I10"/>
    <mergeCell ref="A1:I1"/>
    <mergeCell ref="A2:I2"/>
    <mergeCell ref="A3:I3"/>
    <mergeCell ref="A4:I4"/>
    <mergeCell ref="A5:I5"/>
  </mergeCells>
  <phoneticPr fontId="28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5</vt:i4>
      </vt:variant>
    </vt:vector>
  </HeadingPairs>
  <TitlesOfParts>
    <vt:vector size="12" baseType="lpstr">
      <vt:lpstr>工作记录单</vt:lpstr>
      <vt:lpstr>水尺计算初次</vt:lpstr>
      <vt:lpstr>水尺计算末次</vt:lpstr>
      <vt:lpstr>压载水</vt:lpstr>
      <vt:lpstr>水尺报告</vt:lpstr>
      <vt:lpstr>计算用，请勿动！</vt:lpstr>
      <vt:lpstr>使用说明</vt:lpstr>
      <vt:lpstr>工作记录单!Print_Area</vt:lpstr>
      <vt:lpstr>水尺报告!Print_Area</vt:lpstr>
      <vt:lpstr>水尺计算初次!Print_Area</vt:lpstr>
      <vt:lpstr>水尺计算末次!Print_Area</vt:lpstr>
      <vt:lpstr>压载水!Print_Area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wyx</dc:creator>
  <cp:lastModifiedBy>孙立中</cp:lastModifiedBy>
  <cp:revision>1</cp:revision>
  <cp:lastPrinted>2019-08-21T13:34:00Z</cp:lastPrinted>
  <dcterms:created xsi:type="dcterms:W3CDTF">2010-03-03T12:33:00Z</dcterms:created>
  <dcterms:modified xsi:type="dcterms:W3CDTF">2021-05-30T11:45:13Z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2052-3.6.0.5672</vt:lpwstr>
  </property>
  <property fmtid="{D5CDD505-2E9C-101B-9397-08002B2CF9AE}" pid="3" name="ICV">
    <vt:lpwstr>60D54B256C7F437BB5BBD253055BCF6C</vt:lpwstr>
  </property>
</Properties>
</file>