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epang\Desktop\Test3\Inputs and resources\"/>
    </mc:Choice>
  </mc:AlternateContent>
  <bookViews>
    <workbookView xWindow="0" yWindow="0" windowWidth="21926" windowHeight="6223"/>
  </bookViews>
  <sheets>
    <sheet name="Stations" sheetId="1" r:id="rId1"/>
    <sheet name="Plant Parameters" sheetId="6" r:id="rId2"/>
    <sheet name="Random Seeds" sheetId="8" r:id="rId3"/>
    <sheet name="Param Est" sheetId="9" r:id="rId4"/>
    <sheet name="SG PP References" sheetId="2" r:id="rId5"/>
    <sheet name="Cooling" sheetId="10" r:id="rId6"/>
  </sheets>
  <definedNames>
    <definedName name="_xlnm._FilterDatabase" localSheetId="1" hidden="1">'Plant Parameters'!$A$1:$M$27</definedName>
    <definedName name="_xlnm._FilterDatabase" localSheetId="2" hidden="1">'Random Seeds'!$A$1:$G$27</definedName>
    <definedName name="_xlnm._FilterDatabase" localSheetId="0" hidden="1">Stations!$A$1:$T$27</definedName>
    <definedName name="Calc_CogenLNGCCGT" localSheetId="2">#REF!</definedName>
    <definedName name="Calc_CogenLNGCCGT">#REF!</definedName>
    <definedName name="Calc_CogenPNGCCGT" localSheetId="2">#REF!</definedName>
    <definedName name="Calc_CogenPNGCCGT">#REF!</definedName>
    <definedName name="Calc_LNGCCGT" localSheetId="2">#REF!</definedName>
    <definedName name="Calc_LNGCCGT">#REF!</definedName>
    <definedName name="Calc_PNGCCGT" localSheetId="2">#REF!</definedName>
    <definedName name="Calc_PNGCCGT">#REF!</definedName>
    <definedName name="Calc_WtE" localSheetId="2">#REF!</definedName>
    <definedName name="Calc_WtE">#REF!</definedName>
    <definedName name="GJpermmBTU" localSheetId="2">#REF!</definedName>
    <definedName name="GJpermmBTU">#REF!</definedName>
    <definedName name="GJperMWh" localSheetId="2">#REF!</definedName>
    <definedName name="GJperMWh">#REF!</definedName>
    <definedName name="LNG_PPcost_h" localSheetId="2">#REF!</definedName>
    <definedName name="LNG_PPcost_h">#REF!</definedName>
    <definedName name="LNG_PPcost_l" localSheetId="2">#REF!</definedName>
    <definedName name="LNG_PPcost_l">#REF!</definedName>
    <definedName name="mcfpermmBTU" localSheetId="2">#REF!</definedName>
    <definedName name="mcfpermmBTU">#REF!</definedName>
    <definedName name="PNG_PPcost_h" localSheetId="2">#REF!</definedName>
    <definedName name="PNG_PPcost_h">#REF!</definedName>
    <definedName name="PNG_PPcost_l" localSheetId="2">#REF!</definedName>
    <definedName name="PNG_PPcost_l">#REF!</definedName>
    <definedName name="SGDperUSD" localSheetId="2">#REF!</definedName>
    <definedName name="SGDperUSD">#REF!</definedName>
    <definedName name="solver_adj" localSheetId="3" hidden="1">'Param Est'!$E$6</definedName>
    <definedName name="solver_cvg" localSheetId="3" hidden="1">0.0001</definedName>
    <definedName name="solver_drv" localSheetId="3" hidden="1">1</definedName>
    <definedName name="solver_eng" localSheetId="3" hidden="1">1</definedName>
    <definedName name="solver_est" localSheetId="3" hidden="1">1</definedName>
    <definedName name="solver_itr" localSheetId="3" hidden="1">2147483647</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0</definedName>
    <definedName name="solver_nwt" localSheetId="3" hidden="1">1</definedName>
    <definedName name="solver_opt" localSheetId="3" hidden="1">'Param Est'!$C$6</definedName>
    <definedName name="solver_pre" localSheetId="3" hidden="1">0.000001</definedName>
    <definedName name="solver_rbv" localSheetId="3" hidden="1">1</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22</definedName>
    <definedName name="solver_ver" localSheetId="3" hidden="1">3</definedName>
    <definedName name="SRMC_LNGCCGT_h" localSheetId="2">#REF!</definedName>
    <definedName name="SRMC_LNGCCGT_h">#REF!</definedName>
    <definedName name="SRMC_LNGCCGT_l" localSheetId="2">#REF!</definedName>
    <definedName name="SRMC_LNGCCGT_l">#REF!</definedName>
    <definedName name="SRMC_LNGCogenCCGT_h" localSheetId="2">#REF!</definedName>
    <definedName name="SRMC_LNGCogenCCGT_h">#REF!</definedName>
    <definedName name="SRMC_LNGCogenCCGT_l" localSheetId="2">#REF!</definedName>
    <definedName name="SRMC_LNGCogenCCGT_l">#REF!</definedName>
    <definedName name="SRMC_PNGCCGT_h" localSheetId="2">#REF!</definedName>
    <definedName name="SRMC_PNGCCGT_h">#REF!</definedName>
    <definedName name="SRMC_PNGCCGT_l" localSheetId="2">#REF!</definedName>
    <definedName name="SRMC_PNGCCGT_l">#REF!</definedName>
    <definedName name="SRMC_PNGCogenCCGT_h" localSheetId="2">#REF!</definedName>
    <definedName name="SRMC_PNGCogenCCGT_h">#REF!</definedName>
    <definedName name="SRMC_PNGCogenCCGT_l" localSheetId="2">#REF!</definedName>
    <definedName name="SRMC_PNGCogenCCGT_l">#REF!</definedName>
    <definedName name="SRMC_WtE_h" localSheetId="2">#REF!</definedName>
    <definedName name="SRMC_WtE_h">#REF!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0" l="1"/>
  <c r="H4" i="10"/>
  <c r="I5" i="10"/>
  <c r="H5" i="10"/>
  <c r="I3" i="10"/>
  <c r="H3" i="10"/>
  <c r="I19" i="1" l="1"/>
  <c r="I18" i="1"/>
  <c r="I17" i="1"/>
  <c r="I14" i="1"/>
  <c r="I13" i="1"/>
  <c r="I10" i="1"/>
  <c r="I9" i="1"/>
  <c r="I8" i="1"/>
  <c r="I7" i="1"/>
  <c r="I5" i="1"/>
  <c r="I4" i="1"/>
  <c r="I3" i="1"/>
  <c r="I2" i="1"/>
  <c r="D25" i="9" l="1"/>
  <c r="D26" i="9" s="1"/>
  <c r="D27" i="9" s="1"/>
  <c r="D28" i="9" s="1"/>
  <c r="D18" i="9"/>
  <c r="C19" i="9"/>
  <c r="C20" i="9" s="1"/>
  <c r="D20" i="9"/>
  <c r="C25" i="9" l="1"/>
  <c r="C26" i="9" s="1"/>
  <c r="C27" i="9" s="1"/>
  <c r="C28" i="9" s="1"/>
  <c r="I12" i="9" l="1"/>
  <c r="J12" i="9" s="1"/>
  <c r="D12" i="9"/>
  <c r="E12" i="9" s="1"/>
  <c r="I11" i="9"/>
  <c r="J11" i="9" s="1"/>
  <c r="D11" i="9"/>
  <c r="E11" i="9" s="1"/>
  <c r="I6" i="9"/>
  <c r="J6" i="9" s="1"/>
  <c r="I5" i="9"/>
  <c r="J5" i="9" s="1"/>
  <c r="D5" i="9"/>
  <c r="E5" i="9" s="1"/>
  <c r="A3" i="8" l="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K27" i="6" l="1"/>
  <c r="K26" i="6"/>
  <c r="K25" i="6"/>
  <c r="K24" i="6"/>
  <c r="K23" i="6"/>
  <c r="K22" i="6"/>
  <c r="K21" i="6"/>
  <c r="K20" i="6"/>
  <c r="K16" i="6"/>
  <c r="K15" i="6"/>
  <c r="K12" i="6"/>
  <c r="K11" i="6"/>
  <c r="K6" i="6"/>
  <c r="D18" i="6" l="1"/>
  <c r="D17" i="6"/>
  <c r="K17" i="6" s="1"/>
  <c r="D14" i="6"/>
  <c r="K14" i="6" s="1"/>
  <c r="D13" i="6"/>
  <c r="K13" i="6" s="1"/>
  <c r="D10" i="6"/>
  <c r="K10" i="6" s="1"/>
  <c r="D9" i="6"/>
  <c r="K9" i="6" s="1"/>
  <c r="D8" i="6"/>
  <c r="K8" i="6" s="1"/>
  <c r="D7" i="6"/>
  <c r="K7" i="6" s="1"/>
  <c r="D5" i="6"/>
  <c r="K5" i="6" s="1"/>
  <c r="D4" i="6"/>
  <c r="K4" i="6" s="1"/>
  <c r="D3" i="6"/>
  <c r="K3" i="6" s="1"/>
  <c r="D2" i="6"/>
  <c r="K2" i="6" s="1"/>
  <c r="D19" i="6" l="1"/>
  <c r="K19" i="6" s="1"/>
  <c r="K18" i="6"/>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S19" i="1" l="1"/>
  <c r="R19" i="1"/>
  <c r="A3" i="1"/>
  <c r="A4" i="1" s="1"/>
  <c r="A5" i="1" s="1"/>
  <c r="H43" i="2" l="1"/>
  <c r="H40" i="2"/>
  <c r="H38" i="2"/>
  <c r="H39" i="2"/>
  <c r="H42" i="2"/>
  <c r="H41" i="2"/>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D6" i="9"/>
  <c r="E6" i="9" s="1"/>
</calcChain>
</file>

<file path=xl/comments1.xml><?xml version="1.0" encoding="utf-8"?>
<comments xmlns="http://schemas.openxmlformats.org/spreadsheetml/2006/main">
  <authors>
    <author>dkayanan</author>
  </authors>
  <commentList>
    <comment ref="D1" authorId="0" shapeId="0">
      <text>
        <r>
          <rPr>
            <b/>
            <sz val="9"/>
            <color indexed="81"/>
            <rFont val="Tahoma"/>
            <family val="2"/>
          </rPr>
          <t>dkayanan:</t>
        </r>
        <r>
          <rPr>
            <sz val="9"/>
            <color indexed="81"/>
            <rFont val="Tahoma"/>
            <family val="2"/>
          </rPr>
          <t xml:space="preserve">
Main Power Producer vs Autoproducer (a facility that produces power but only secondary to its main business)
As defined by EMA</t>
        </r>
      </text>
    </comment>
    <comment ref="E1" authorId="0" shapeId="0">
      <text>
        <r>
          <rPr>
            <b/>
            <sz val="9"/>
            <color indexed="81"/>
            <rFont val="Tahoma"/>
            <family val="2"/>
          </rPr>
          <t>dkayanan:</t>
        </r>
        <r>
          <rPr>
            <sz val="9"/>
            <color indexed="81"/>
            <rFont val="Tahoma"/>
            <family val="2"/>
          </rPr>
          <t xml:space="preserve">
Vested under the original Vesting Scheme of 2004
Src: Procedures for Calculating the Components of the Vesting Contracts v2.5, EMA
</t>
        </r>
      </text>
    </comment>
    <comment ref="F1" authorId="0" shapeId="0">
      <text>
        <r>
          <rPr>
            <b/>
            <sz val="9"/>
            <color indexed="81"/>
            <rFont val="Tahoma"/>
            <family val="2"/>
          </rPr>
          <t>dkayanan:</t>
        </r>
        <r>
          <rPr>
            <sz val="9"/>
            <color indexed="81"/>
            <rFont val="Tahoma"/>
            <family val="2"/>
          </rPr>
          <t xml:space="preserve">
Not all LNG-fueled plants are vested under the LNG Vesting Scheme.
Most likely, all LNG-vested plants came before non-vested LNG plants.</t>
        </r>
      </text>
    </comment>
    <comment ref="G1" authorId="0" shapeId="0">
      <text>
        <r>
          <rPr>
            <b/>
            <sz val="9"/>
            <color indexed="81"/>
            <rFont val="Tahoma"/>
            <family val="2"/>
          </rPr>
          <t>dkayanan:</t>
        </r>
        <r>
          <rPr>
            <sz val="9"/>
            <color indexed="81"/>
            <rFont val="Tahoma"/>
            <family val="2"/>
          </rPr>
          <t xml:space="preserve">
This is the latest commission year, after any plant upgrades (as opposed to when the first MWh was produced)
Some power plants have units lumped (i.e. even if they were commissioned in different years). In such a case, then the commissioned year is the latest.
</t>
        </r>
        <r>
          <rPr>
            <b/>
            <sz val="9"/>
            <color indexed="81"/>
            <rFont val="Tahoma"/>
            <family val="2"/>
          </rPr>
          <t xml:space="preserve">EMA import control on PNG
</t>
        </r>
        <r>
          <rPr>
            <sz val="9"/>
            <color indexed="81"/>
            <rFont val="Tahoma"/>
            <family val="2"/>
          </rPr>
          <t xml:space="preserve">Announced 2006, cannot have </t>
        </r>
        <r>
          <rPr>
            <i/>
            <sz val="9"/>
            <color indexed="81"/>
            <rFont val="Tahoma"/>
            <family val="2"/>
          </rPr>
          <t>new</t>
        </r>
        <r>
          <rPr>
            <sz val="9"/>
            <color indexed="81"/>
            <rFont val="Tahoma"/>
            <family val="2"/>
          </rPr>
          <t xml:space="preserve"> PNG import arrangements.
Thus, plants commissioned ~2006-2013, prior to first LNG import, must have switched to LNG once the import started.
Import control ceased in</t>
        </r>
        <r>
          <rPr>
            <b/>
            <sz val="9"/>
            <color indexed="81"/>
            <rFont val="Tahoma"/>
            <family val="2"/>
          </rPr>
          <t xml:space="preserve"> 2017.</t>
        </r>
      </text>
    </comment>
    <comment ref="I1" authorId="0" shapeId="0">
      <text>
        <r>
          <rPr>
            <b/>
            <sz val="9"/>
            <color indexed="81"/>
            <rFont val="Tahoma"/>
            <family val="2"/>
          </rPr>
          <t>dkayanan:</t>
        </r>
        <r>
          <rPr>
            <sz val="9"/>
            <color indexed="81"/>
            <rFont val="Tahoma"/>
            <family val="2"/>
          </rPr>
          <t xml:space="preserve">
Truly latest:
- updated WtE plant registered capacities, which is significantly less than the nameplate due to significant houseloads (as seen from Tuas and Tuas South brochures).
Latest --
Total reg capacity here is the same as EMA's, but the Autoproducer capacity is in excess of about 100 MW (conversely main producers lack 100 MW)
-------------------------------------------------------------------------------
Where there are inconsistencies with info found, the EMA Energy Stats 2018 Table 2.3.1 was followed.
</t>
        </r>
        <r>
          <rPr>
            <b/>
            <sz val="9"/>
            <color indexed="81"/>
            <rFont val="Tahoma"/>
            <family val="2"/>
          </rPr>
          <t>Adjusting actual capacity to registered capacity</t>
        </r>
        <r>
          <rPr>
            <sz val="9"/>
            <color indexed="81"/>
            <rFont val="Tahoma"/>
            <family val="2"/>
          </rPr>
          <t xml:space="preserve">
Registered capacity &lt;= actual MW capacity
*PowerSeraya has 3100 MW of 3250 MW registered
If there is not enough info on which plants are derated, then all
stations are scaled by (registered MW/actual MW)</t>
        </r>
      </text>
    </comment>
    <comment ref="J1" authorId="0" shapeId="0">
      <text>
        <r>
          <rPr>
            <b/>
            <sz val="9"/>
            <color indexed="81"/>
            <rFont val="Tahoma"/>
            <family val="2"/>
          </rPr>
          <t>dkayanan:</t>
        </r>
        <r>
          <rPr>
            <sz val="9"/>
            <color indexed="81"/>
            <rFont val="Tahoma"/>
            <family val="2"/>
          </rPr>
          <t xml:space="preserve">
CCGT             Combined cycle gas turbine
OCGT            Open cycle gas turbine
ST                 Steam turbine
</t>
        </r>
      </text>
    </comment>
    <comment ref="L1" authorId="0" shapeId="0">
      <text>
        <r>
          <rPr>
            <b/>
            <sz val="9"/>
            <color indexed="81"/>
            <rFont val="Tahoma"/>
            <family val="2"/>
          </rPr>
          <t>dkayanan:</t>
        </r>
        <r>
          <rPr>
            <sz val="9"/>
            <color indexed="81"/>
            <rFont val="Tahoma"/>
            <family val="2"/>
          </rPr>
          <t xml:space="preserve">
From May 2013 - end of 2017, EMA's import control on PNG was in effect -- all new gas turbines must source via LNG
</t>
        </r>
        <r>
          <rPr>
            <i/>
            <sz val="9"/>
            <color indexed="81"/>
            <rFont val="Tahoma"/>
            <family val="2"/>
          </rPr>
          <t xml:space="preserve">Assumption
</t>
        </r>
        <r>
          <rPr>
            <sz val="9"/>
            <color indexed="81"/>
            <rFont val="Tahoma"/>
            <family val="2"/>
          </rPr>
          <t>All CCGT plants prior to LNG coming to SG are supplied via PNG (i.e. assume that these are long-term contracts)</t>
        </r>
      </text>
    </comment>
    <comment ref="M22" authorId="0" shapeId="0">
      <text>
        <r>
          <rPr>
            <b/>
            <sz val="9"/>
            <color indexed="81"/>
            <rFont val="Tahoma"/>
            <family val="2"/>
          </rPr>
          <t>dkayanan:</t>
        </r>
        <r>
          <rPr>
            <sz val="9"/>
            <color indexed="81"/>
            <rFont val="Tahoma"/>
            <family val="2"/>
          </rPr>
          <t xml:space="preserve">
WtE brochures state cooling system</t>
        </r>
      </text>
    </comment>
    <comment ref="M26" authorId="0" shapeId="0">
      <text>
        <r>
          <rPr>
            <b/>
            <sz val="9"/>
            <color indexed="81"/>
            <rFont val="Tahoma"/>
            <family val="2"/>
          </rPr>
          <t>dkayanan:</t>
        </r>
        <r>
          <rPr>
            <sz val="9"/>
            <color indexed="81"/>
            <rFont val="Tahoma"/>
            <family val="2"/>
          </rPr>
          <t xml:space="preserve">
found in technical brochure that they have a BP &amp; Ext-ST. The condensing unit shows a seawater cooling system.</t>
        </r>
      </text>
    </comment>
  </commentList>
</comments>
</file>

<file path=xl/comments2.xml><?xml version="1.0" encoding="utf-8"?>
<comments xmlns="http://schemas.openxmlformats.org/spreadsheetml/2006/main">
  <authors>
    <author>dkayanan</author>
  </authors>
  <commentList>
    <comment ref="D1" authorId="0" shapeId="0">
      <text>
        <r>
          <rPr>
            <b/>
            <sz val="9"/>
            <color indexed="81"/>
            <rFont val="Tahoma"/>
            <family val="2"/>
          </rPr>
          <t>dkayanan:</t>
        </r>
        <r>
          <rPr>
            <sz val="9"/>
            <color indexed="81"/>
            <rFont val="Tahoma"/>
            <family val="2"/>
          </rPr>
          <t xml:space="preserve">
Latest --
Total reg capacity here is the same as EMA's, but the Autoproducer capacity is in excess of about 100 MW (conversely main producers lack 100 MW)
-------------------------------------------------------------------------------
Where there are inconsistencies with info found, the EMA Energy Stats 2018 Table 2.3.1 was followed.
</t>
        </r>
        <r>
          <rPr>
            <b/>
            <sz val="9"/>
            <color indexed="81"/>
            <rFont val="Tahoma"/>
            <family val="2"/>
          </rPr>
          <t>Adjusting actual capacity to registered capacity</t>
        </r>
        <r>
          <rPr>
            <sz val="9"/>
            <color indexed="81"/>
            <rFont val="Tahoma"/>
            <family val="2"/>
          </rPr>
          <t xml:space="preserve">
Registered capacity &lt;= actual MW capacity
*PowerSeraya has 3100 MW of 3250 MW registered
If there is not enough info on which plants are derated, then all
stations are scaled by (registered MW/actual MW)</t>
        </r>
      </text>
    </comment>
    <comment ref="E1" authorId="0" shapeId="0">
      <text>
        <r>
          <rPr>
            <b/>
            <sz val="9"/>
            <color indexed="81"/>
            <rFont val="Tahoma"/>
            <family val="2"/>
          </rPr>
          <t>dkayanan:</t>
        </r>
        <r>
          <rPr>
            <sz val="9"/>
            <color indexed="81"/>
            <rFont val="Tahoma"/>
            <family val="2"/>
          </rPr>
          <t xml:space="preserve">
CCGT             Combined cycle gas turbine
OCGT            Open cycle gas turbine
ST                 Steam turbine
</t>
        </r>
      </text>
    </comment>
    <comment ref="F1" authorId="0" shapeId="0">
      <text>
        <r>
          <rPr>
            <b/>
            <sz val="9"/>
            <color indexed="81"/>
            <rFont val="Tahoma"/>
            <family val="2"/>
          </rPr>
          <t>dkayanan:</t>
        </r>
        <r>
          <rPr>
            <sz val="9"/>
            <color indexed="81"/>
            <rFont val="Tahoma"/>
            <family val="2"/>
          </rPr>
          <t xml:space="preserve">
keys are always case INsensitive, because they are used as keys metadata.ini</t>
        </r>
      </text>
    </comment>
    <comment ref="G1" authorId="0" shapeId="0">
      <text>
        <r>
          <rPr>
            <b/>
            <sz val="9"/>
            <color indexed="81"/>
            <rFont val="Tahoma"/>
            <family val="2"/>
          </rPr>
          <t>dkayanan:</t>
        </r>
        <r>
          <rPr>
            <sz val="9"/>
            <color indexed="81"/>
            <rFont val="Tahoma"/>
            <family val="2"/>
          </rPr>
          <t xml:space="preserve">
If combustion-based, pls. indicate the HHV efficiency.</t>
        </r>
      </text>
    </comment>
    <comment ref="J1" authorId="0" shapeId="0">
      <text>
        <r>
          <rPr>
            <b/>
            <sz val="9"/>
            <color indexed="81"/>
            <rFont val="Tahoma"/>
            <family val="2"/>
          </rPr>
          <t>dkayanan:</t>
        </r>
        <r>
          <rPr>
            <sz val="9"/>
            <color indexed="81"/>
            <rFont val="Tahoma"/>
            <family val="2"/>
          </rPr>
          <t xml:space="preserve">
Fixed to max efficiency</t>
        </r>
      </text>
    </comment>
    <comment ref="K1" authorId="0" shapeId="0">
      <text>
        <r>
          <rPr>
            <b/>
            <sz val="9"/>
            <color indexed="81"/>
            <rFont val="Tahoma"/>
            <family val="2"/>
          </rPr>
          <t>dkayanan:</t>
        </r>
        <r>
          <rPr>
            <sz val="9"/>
            <color indexed="81"/>
            <rFont val="Tahoma"/>
            <family val="2"/>
          </rPr>
          <t xml:space="preserve">
dummy param -- all 50%</t>
        </r>
      </text>
    </comment>
  </commentList>
</comments>
</file>

<file path=xl/comments3.xml><?xml version="1.0" encoding="utf-8"?>
<comments xmlns="http://schemas.openxmlformats.org/spreadsheetml/2006/main">
  <authors>
    <author>dkayanan</author>
  </authors>
  <commentList>
    <comment ref="A1" authorId="0" shapeId="0">
      <text>
        <r>
          <rPr>
            <b/>
            <sz val="9"/>
            <color indexed="81"/>
            <rFont val="Tahoma"/>
            <family val="2"/>
          </rPr>
          <t>dkayanan:</t>
        </r>
        <r>
          <rPr>
            <sz val="9"/>
            <color indexed="81"/>
            <rFont val="Tahoma"/>
            <family val="2"/>
          </rPr>
          <t xml:space="preserve">
Rand seeds are set as a function of the IDs for now</t>
        </r>
      </text>
    </comment>
    <comment ref="D1" authorId="0" shapeId="0">
      <text>
        <r>
          <rPr>
            <b/>
            <sz val="9"/>
            <color indexed="81"/>
            <rFont val="Tahoma"/>
            <family val="2"/>
          </rPr>
          <t>dkayanan:</t>
        </r>
        <r>
          <rPr>
            <sz val="9"/>
            <color indexed="81"/>
            <rFont val="Tahoma"/>
            <family val="2"/>
          </rPr>
          <t xml:space="preserve">
Full load efficiency adjustment rand var</t>
        </r>
      </text>
    </comment>
    <comment ref="E1" authorId="0" shapeId="0">
      <text>
        <r>
          <rPr>
            <b/>
            <sz val="9"/>
            <color indexed="81"/>
            <rFont val="Tahoma"/>
            <family val="2"/>
          </rPr>
          <t>dkayanan:</t>
        </r>
        <r>
          <rPr>
            <sz val="9"/>
            <color indexed="81"/>
            <rFont val="Tahoma"/>
            <family val="2"/>
          </rPr>
          <t xml:space="preserve">
Rand var that determines whether the plant starts online. This considers the limiting availability parameter of the plant.
</t>
        </r>
      </text>
    </comment>
    <comment ref="F1" authorId="0" shapeId="0">
      <text>
        <r>
          <rPr>
            <b/>
            <sz val="9"/>
            <color indexed="81"/>
            <rFont val="Tahoma"/>
            <family val="2"/>
          </rPr>
          <t>dkayanan:</t>
        </r>
        <r>
          <rPr>
            <sz val="9"/>
            <color indexed="81"/>
            <rFont val="Tahoma"/>
            <family val="2"/>
          </rPr>
          <t xml:space="preserve">
UP / online time duration rand var
</t>
        </r>
      </text>
    </comment>
    <comment ref="G1" authorId="0" shapeId="0">
      <text>
        <r>
          <rPr>
            <b/>
            <sz val="9"/>
            <color indexed="81"/>
            <rFont val="Tahoma"/>
            <family val="2"/>
          </rPr>
          <t>dkayanan:</t>
        </r>
        <r>
          <rPr>
            <sz val="9"/>
            <color indexed="81"/>
            <rFont val="Tahoma"/>
            <family val="2"/>
          </rPr>
          <t xml:space="preserve">
Down / repair time rand var</t>
        </r>
      </text>
    </comment>
  </commentList>
</comments>
</file>

<file path=xl/comments4.xml><?xml version="1.0" encoding="utf-8"?>
<comments xmlns="http://schemas.openxmlformats.org/spreadsheetml/2006/main">
  <authors>
    <author>dkayanan</author>
  </authors>
  <commentList>
    <comment ref="F22" authorId="0" shapeId="0">
      <text>
        <r>
          <rPr>
            <b/>
            <sz val="9"/>
            <color indexed="81"/>
            <rFont val="Tahoma"/>
            <family val="2"/>
          </rPr>
          <t>dkayanan:</t>
        </r>
        <r>
          <rPr>
            <sz val="9"/>
            <color indexed="81"/>
            <rFont val="Tahoma"/>
            <family val="2"/>
          </rPr>
          <t xml:space="preserve">
data.gov power plant outage data</t>
        </r>
      </text>
    </comment>
    <comment ref="S28" authorId="0" shapeId="0">
      <text>
        <r>
          <rPr>
            <b/>
            <sz val="9"/>
            <color indexed="81"/>
            <rFont val="Tahoma"/>
            <family val="2"/>
          </rPr>
          <t>dkayanan:</t>
        </r>
        <r>
          <rPr>
            <sz val="9"/>
            <color indexed="81"/>
            <rFont val="Tahoma"/>
            <family val="2"/>
          </rPr>
          <t xml:space="preserve">
I changed my mind. I think the long-term ratio of outage cap/total cap per mo should be interpretted as a </t>
        </r>
        <r>
          <rPr>
            <b/>
            <sz val="9"/>
            <color indexed="81"/>
            <rFont val="Tahoma"/>
            <family val="2"/>
          </rPr>
          <t>lower bound</t>
        </r>
        <r>
          <rPr>
            <sz val="9"/>
            <color indexed="81"/>
            <rFont val="Tahoma"/>
            <family val="2"/>
          </rPr>
          <t xml:space="preserve"> on the availability
</t>
        </r>
      </text>
    </comment>
  </commentList>
</comments>
</file>

<file path=xl/comments5.xml><?xml version="1.0" encoding="utf-8"?>
<comments xmlns="http://schemas.openxmlformats.org/spreadsheetml/2006/main">
  <authors>
    <author>dkayanan</author>
  </authors>
  <commentList>
    <comment ref="H127" authorId="0" shapeId="0">
      <text>
        <r>
          <rPr>
            <b/>
            <sz val="9"/>
            <color indexed="81"/>
            <rFont val="Tahoma"/>
            <family val="2"/>
          </rPr>
          <t xml:space="preserve">p4
</t>
        </r>
        <r>
          <rPr>
            <sz val="9"/>
            <color indexed="81"/>
            <rFont val="Tahoma"/>
            <family val="2"/>
          </rPr>
          <t xml:space="preserve">The BMCC cogeneration plant houses the following major energy
equipment/facilities:
- 2 x 450 T/H Coal and Biomass (Palm Kernel / Woodchip) fired
Circulating Fluidized Bed (CFB) Boilers
- 1 x 101MW Condensing (with 19 Bar extraction) Steam Turbine
Generator (STG1)
- 1 x 32.5MW LP (19 Bar) Backpressure (with HP 60 Bar and MP 42 Bar
extraction) Steam Turbine Generator (STG2)
- 3 x 200 T/H Nature Gas (NG) Backup Boilers
- Seawater Intake Facilities (3 x 11,550 m3/h)
- 3 x Coal Silo (3 x 28,500 m3)
- Biomass Storage House (61,500 m3)
- 66/22kV Switch House
</t>
        </r>
      </text>
    </comment>
  </commentList>
</comments>
</file>

<file path=xl/comments6.xml><?xml version="1.0" encoding="utf-8"?>
<comments xmlns="http://schemas.openxmlformats.org/spreadsheetml/2006/main">
  <authors>
    <author>dkayanan</author>
  </authors>
  <commentList>
    <comment ref="R14" authorId="0" shapeId="0">
      <text>
        <r>
          <rPr>
            <b/>
            <sz val="9"/>
            <color indexed="81"/>
            <rFont val="Tahoma"/>
            <family val="2"/>
          </rPr>
          <t>dkayanan:</t>
        </r>
        <r>
          <rPr>
            <sz val="9"/>
            <color indexed="81"/>
            <rFont val="Tahoma"/>
            <family val="2"/>
          </rPr>
          <t xml:space="preserve">
Notice how exhaust T4 needs to be lower for higher efficiency</t>
        </r>
      </text>
    </comment>
  </commentList>
</comments>
</file>

<file path=xl/sharedStrings.xml><?xml version="1.0" encoding="utf-8"?>
<sst xmlns="http://schemas.openxmlformats.org/spreadsheetml/2006/main" count="763" uniqueCount="338">
  <si>
    <t>Technology</t>
  </si>
  <si>
    <t>Units</t>
  </si>
  <si>
    <t>Owner/Operator</t>
  </si>
  <si>
    <t>Senoko Energy Pte Ltd</t>
  </si>
  <si>
    <t>Fuel</t>
  </si>
  <si>
    <t>CCGT</t>
  </si>
  <si>
    <t>nat gas</t>
  </si>
  <si>
    <t>Oil-fired ST</t>
  </si>
  <si>
    <t>Comments</t>
  </si>
  <si>
    <t>References</t>
  </si>
  <si>
    <t>Wikipedia</t>
  </si>
  <si>
    <t>Senoko Power Station</t>
  </si>
  <si>
    <t>List of power stations in SG</t>
  </si>
  <si>
    <t>coordinates</t>
  </si>
  <si>
    <t>Stations, owners, fuel</t>
  </si>
  <si>
    <t>Singapore Energy Statistics 2018, EMA</t>
  </si>
  <si>
    <t>On Senoko Energy, article in the Singapore Engineer, Mar 2012</t>
  </si>
  <si>
    <t>More resources, not used</t>
  </si>
  <si>
    <t>Pasir Panjang Power Station 'A' decommissioned</t>
  </si>
  <si>
    <t>Senoko Power Station in the National Library</t>
  </si>
  <si>
    <t>General</t>
  </si>
  <si>
    <t>Senoko Power Station (Wikipedia)</t>
  </si>
  <si>
    <t>use of crude oil</t>
  </si>
  <si>
    <t>crude oil</t>
  </si>
  <si>
    <t>EMA</t>
  </si>
  <si>
    <t>Licensed generation companies</t>
  </si>
  <si>
    <t>Singapore's largest power companies Mar 2017</t>
  </si>
  <si>
    <t>Table 2.3.1 Capacity by generator of main producers</t>
  </si>
  <si>
    <t xml:space="preserve">YTL PowerSeraya Pte Ltd </t>
  </si>
  <si>
    <t>OCGT</t>
  </si>
  <si>
    <t>Oil ST is just backup.</t>
  </si>
  <si>
    <t>Pulau Seraya Power Station</t>
  </si>
  <si>
    <t>Jurong Power Station</t>
  </si>
  <si>
    <t>Cogen CCGT</t>
  </si>
  <si>
    <t>Power Seraya</t>
  </si>
  <si>
    <t>Contact</t>
  </si>
  <si>
    <t>Sembcorp Cogen @ Banyan</t>
  </si>
  <si>
    <t>SembCorp Cogen Pte Ltd</t>
  </si>
  <si>
    <t>3x 250 MW</t>
  </si>
  <si>
    <t>800 MW co-gen CCP has two units</t>
  </si>
  <si>
    <t>Unveil of 800MW Co-Gen (2007)</t>
  </si>
  <si>
    <t>Two existing CCPs to be converted to co-gen</t>
  </si>
  <si>
    <t>All four co-gens at Pulau Seraya</t>
  </si>
  <si>
    <t>Annual report '09-'10</t>
  </si>
  <si>
    <t>p34 -- Power Seraya has 2x370MW CCGT and 7x250MW Oil-fired ST</t>
  </si>
  <si>
    <t>p34 -- New 800MW co-gen completed in Jul '10. Replaced 3 oil-fired ST</t>
  </si>
  <si>
    <t>First in SG to offer Multi-Fuel Options (2005)</t>
  </si>
  <si>
    <t>Orimulsion</t>
  </si>
  <si>
    <t>Existing 3x250 MW ST upgraded to use Orimulsion --&gt; 3x250MW in Pulau Seraya are oil-fired ST</t>
  </si>
  <si>
    <t>OCGT diesel</t>
  </si>
  <si>
    <t>Actual MW</t>
  </si>
  <si>
    <t>Oil-fired ST w/ Orimulsion</t>
  </si>
  <si>
    <t>CCGT or w/o co-gen</t>
  </si>
  <si>
    <t>Media Resource</t>
  </si>
  <si>
    <t>Scale all Oil-fired ST by 1448 MW licensed / 1500 MW actual</t>
  </si>
  <si>
    <t>2x 105 MW</t>
  </si>
  <si>
    <t>diesel</t>
  </si>
  <si>
    <t>Wiki - List of power stations in SG</t>
  </si>
  <si>
    <t xml:space="preserve">Deduced that the 180 MW licensed diesel OCGT are at Jurong Power Stations; the rest </t>
  </si>
  <si>
    <t>of the 2920 MW licensed capacity at Pulau Seraya station.</t>
  </si>
  <si>
    <t>heavy fuel oil</t>
  </si>
  <si>
    <t>There were plans of converting these two to co-gen, but "Media Resource" page listed 2x cogen CCGT and 2x CCGT only.</t>
  </si>
  <si>
    <t>At this time, 6x250 MW oil ST more (3 of which replaced 2x400MW cogen in 2010) + 2x370 MW NG</t>
  </si>
  <si>
    <t>Wikipedia says capacity is 180 MW/210 MW; thus, remaining unmapped 3x250 MW oil ST at Pulau</t>
  </si>
  <si>
    <t>Tuas Power Generation Pte Ltd</t>
  </si>
  <si>
    <t>Jurong gas plant</t>
  </si>
  <si>
    <t>Tuas Power</t>
  </si>
  <si>
    <t>Others</t>
  </si>
  <si>
    <t>Pulau Seraya and Jurong Power Station</t>
  </si>
  <si>
    <t>Tuas Power Station</t>
  </si>
  <si>
    <t>5x CCGT</t>
  </si>
  <si>
    <t>1x 600 MW ST</t>
  </si>
  <si>
    <t>Wiki</t>
  </si>
  <si>
    <t>All units are in one plant</t>
  </si>
  <si>
    <t>TP Utilities Pte Ltd</t>
  </si>
  <si>
    <t>oil</t>
  </si>
  <si>
    <t>Plant in Japan burns crude oil directly</t>
  </si>
  <si>
    <t>1x 600 MW</t>
  </si>
  <si>
    <t>Pulau Sakra Power Station</t>
  </si>
  <si>
    <t>ID</t>
  </si>
  <si>
    <t>Power Plant</t>
  </si>
  <si>
    <t>Sembcorp power plants</t>
  </si>
  <si>
    <t>Sembcorp</t>
  </si>
  <si>
    <t>Utilities brochure 2018</t>
  </si>
  <si>
    <t>Sakra cogen</t>
  </si>
  <si>
    <t>Sakra energy from waste</t>
  </si>
  <si>
    <t>Banyan cogen</t>
  </si>
  <si>
    <t>Actual capacity by fuel</t>
  </si>
  <si>
    <t>104 MW PV</t>
  </si>
  <si>
    <t>400 megawatts of power and 200 tonnes per hour of process steam</t>
  </si>
  <si>
    <t>Media</t>
  </si>
  <si>
    <t>ST -- Sembcorp opens $635 million co-gen plant in Jurong Island (Banyan)</t>
  </si>
  <si>
    <t>Keppel merlimau cogen</t>
  </si>
  <si>
    <t>Keppel Merlimau Cogen Power Station</t>
  </si>
  <si>
    <t>Keppel Merlimau Cogen Pte Ltd</t>
  </si>
  <si>
    <t>Keppel</t>
  </si>
  <si>
    <t>Keppel Merlimau Cogen Plant</t>
  </si>
  <si>
    <t>1300 MW cogen CCGT</t>
  </si>
  <si>
    <t>PacificLight Power Pte Ltd</t>
  </si>
  <si>
    <t>PacificLight Power</t>
  </si>
  <si>
    <t>PacificLight</t>
  </si>
  <si>
    <t>800 MW CCGT</t>
  </si>
  <si>
    <t>Sources LNG</t>
  </si>
  <si>
    <t xml:space="preserve"> Siemens SGT5-4000F Gas Turbine</t>
  </si>
  <si>
    <t>PacificLight Power Plant</t>
  </si>
  <si>
    <t>PacificLight launches the plant</t>
  </si>
  <si>
    <t>Tuaspring Integrated Power and Water Plant</t>
  </si>
  <si>
    <t>Hyflux -- Tuaspring plant</t>
  </si>
  <si>
    <t>411 MW power + desalination plant</t>
  </si>
  <si>
    <t>Hyflux -- About Tuaspring</t>
  </si>
  <si>
    <t>Sea water for CCGT cooling is then desalinated. Captured heat in sea water makes desalination easier.</t>
  </si>
  <si>
    <r>
      <t xml:space="preserve">Hyflux </t>
    </r>
    <r>
      <rPr>
        <sz val="11"/>
        <color theme="1"/>
        <rFont val="Calibri"/>
        <family val="2"/>
        <scheme val="minor"/>
      </rPr>
      <t>(desalination co)</t>
    </r>
  </si>
  <si>
    <t>Tuaspring Integrated Water &amp; Power Project</t>
  </si>
  <si>
    <t>Tuaspring Plant Pte Ltd</t>
  </si>
  <si>
    <t>National Environment Agency</t>
  </si>
  <si>
    <t>Tuas South Incineration Plant</t>
  </si>
  <si>
    <t>waste</t>
  </si>
  <si>
    <t>Tuas Incineration brochure</t>
  </si>
  <si>
    <t>Tuas South Incineration brochure</t>
  </si>
  <si>
    <t>30 MW</t>
  </si>
  <si>
    <t>Tuas Incineration Plant</t>
  </si>
  <si>
    <t>Waste facilities in SG</t>
  </si>
  <si>
    <t>Four WtE plants here</t>
  </si>
  <si>
    <t>WtE ST</t>
  </si>
  <si>
    <t>2x 66.3 MW ST</t>
  </si>
  <si>
    <t>WtE Plants -- Public-Private parnership in SG</t>
  </si>
  <si>
    <t>Author Loh Ah Tuan is former director-general of NEA</t>
  </si>
  <si>
    <t>s11 outlines all WtE plants in SG</t>
  </si>
  <si>
    <t>Senoko Waste-to-Energy Plant</t>
  </si>
  <si>
    <t>Keppel-Seghers</t>
  </si>
  <si>
    <t>Keppel Seghers Tuas Waste-to-Energy Plant</t>
  </si>
  <si>
    <t>Keppel Seghers Tuas WTE Pte Ltd</t>
  </si>
  <si>
    <t>Senoko WTE Pte Ltd</t>
  </si>
  <si>
    <t>Keppel-Seghers WtE plants</t>
  </si>
  <si>
    <t>All WtE plants</t>
  </si>
  <si>
    <t>Brochure for Senoko WtE and Keppel-Seghers Senoko WtE</t>
  </si>
  <si>
    <t>Both were at least built by Keppel-Seghers</t>
  </si>
  <si>
    <t>Main Power Producer</t>
  </si>
  <si>
    <t>Y</t>
  </si>
  <si>
    <t>N</t>
  </si>
  <si>
    <t>Tembusu BMCC Plant</t>
  </si>
  <si>
    <t>TP Utilities' BMCC plant in TMUC</t>
  </si>
  <si>
    <t>ST -- SG's first coal plant</t>
  </si>
  <si>
    <t>Fuel -- low-sulphur coal, biomass (palm kernel shells and woodchips), and NG or diesel</t>
  </si>
  <si>
    <t>clean coal, biomass, nat gas</t>
  </si>
  <si>
    <t>Hyflux awarded contract for desalination plant in TMUC</t>
  </si>
  <si>
    <t>BMCC is 160 MW</t>
  </si>
  <si>
    <t>The Tembusu Multi-Utilities Complex</t>
  </si>
  <si>
    <t>Technical data but no values</t>
  </si>
  <si>
    <t>ABB awarded an electrification contract</t>
  </si>
  <si>
    <t>BMCC is 160 MW (2nd source)</t>
  </si>
  <si>
    <t>ABB again</t>
  </si>
  <si>
    <t>ExxonMobil cogen</t>
  </si>
  <si>
    <t>ExxonMobil</t>
  </si>
  <si>
    <t xml:space="preserve">2017 - Comletes new 80 MW cogen plant </t>
  </si>
  <si>
    <t>New 80 MW plant boosts cogen capacity to 440 MW -- thus, only up to 230 MW of 380 MW cogen capacity was licensed</t>
  </si>
  <si>
    <t>ExxonMobil currently has three cogen plants</t>
  </si>
  <si>
    <t>New 80 MW plant is the third plant</t>
  </si>
  <si>
    <t>ExxonMobil Cogen Plant</t>
  </si>
  <si>
    <t>ExxonMobil Asia Pacific Pte Ltd</t>
  </si>
  <si>
    <t>ST -- generating power responsibly</t>
  </si>
  <si>
    <t>Suggests all ExxonMobil's cogen facilities are CCGT</t>
  </si>
  <si>
    <t>Commissioned</t>
  </si>
  <si>
    <t>LNG</t>
  </si>
  <si>
    <t>Various stages were commissioned in different years. Latest 2x 425 MW borne out of LNG Vesting</t>
  </si>
  <si>
    <t>Vested (2004)</t>
  </si>
  <si>
    <t>Vested (LNG)</t>
  </si>
  <si>
    <t>800 MW but only 2x370MW registered</t>
  </si>
  <si>
    <t>p 27 -- secured long-term LNG agreement with SLNG and BG Group for when SLNG Terminal completes in 2013 (signed 2010)</t>
  </si>
  <si>
    <t>First plant to use LNG. Uses up about 25% of imported LNG back in 2014</t>
  </si>
  <si>
    <t>SKACCP1, SKACCP2</t>
  </si>
  <si>
    <t>SKACCP3</t>
  </si>
  <si>
    <t>BT -- Tuas Power strts up its gas-fired cogen</t>
  </si>
  <si>
    <t>TUACCP5</t>
  </si>
  <si>
    <t>TUACCP1 in 2001; TUACCP2 in 2002</t>
  </si>
  <si>
    <t>TUACCP1, 2</t>
  </si>
  <si>
    <t>TUACCP3, 4</t>
  </si>
  <si>
    <t>SNK CCP 1, 2</t>
  </si>
  <si>
    <t>SNK CCP 3</t>
  </si>
  <si>
    <t>SNK CCP 4, 5</t>
  </si>
  <si>
    <t>SNK CCP 6, 7</t>
  </si>
  <si>
    <t>PLP Unit 1, 2</t>
  </si>
  <si>
    <t>TMUC inauguration speech</t>
  </si>
  <si>
    <t>PNG import control didn't apply to this plant.</t>
  </si>
  <si>
    <t>On ExxonMobil new plant from 2010</t>
  </si>
  <si>
    <t>220 MW cogen</t>
  </si>
  <si>
    <t>4x 367 MW; 1x511 MW; Only cogen in Tuas (all the rest are in Jurong Island)</t>
  </si>
  <si>
    <t>For the ExxonMobil refineries (Jurong Island and Jurong; but maybe only for the Jurong Island refinery). These are actually two plants (220 MW + 140 MW) in 2016, but combined for simplicity. Total capacity is 380 MW, but less capacity must be licensed, to be consistent with EMA's total licensed capacity.</t>
  </si>
  <si>
    <t>long (°)</t>
  </si>
  <si>
    <t>First cogen in SG</t>
  </si>
  <si>
    <t>First cogen plant in SG (Pulau Sakra)</t>
  </si>
  <si>
    <t>Near Senoko power station. The location near Sentosa is an office, not the plant.</t>
  </si>
  <si>
    <t>Full Load Efficiency [%]</t>
  </si>
  <si>
    <r>
      <t xml:space="preserve">Registered Capacity </t>
    </r>
    <r>
      <rPr>
        <sz val="10"/>
        <color theme="0"/>
        <rFont val="Calibri"/>
        <family val="2"/>
        <scheme val="minor"/>
      </rPr>
      <t>[MW]</t>
    </r>
  </si>
  <si>
    <r>
      <t>lat (</t>
    </r>
    <r>
      <rPr>
        <b/>
        <sz val="10"/>
        <color theme="0"/>
        <rFont val="Calibri"/>
        <family val="2"/>
      </rPr>
      <t>°)</t>
    </r>
  </si>
  <si>
    <t>Registered Capacity [MW]</t>
  </si>
  <si>
    <t>CCGT GT26</t>
  </si>
  <si>
    <t>CCGT Best</t>
  </si>
  <si>
    <t>CCGT Typical</t>
  </si>
  <si>
    <t>CCGT 4000F</t>
  </si>
  <si>
    <t>CCGT 9F.05</t>
  </si>
  <si>
    <t>CCGT 701F</t>
  </si>
  <si>
    <t>Min Stable Generation [MW]</t>
  </si>
  <si>
    <t>Fuel ID*</t>
  </si>
  <si>
    <t>Efficiency Curve*</t>
  </si>
  <si>
    <t>LNG (JKM)</t>
  </si>
  <si>
    <t>PNG (HH)</t>
  </si>
  <si>
    <t>Coal (AU)</t>
  </si>
  <si>
    <t>Crude (Brent)</t>
  </si>
  <si>
    <t>Crude (Dubai)</t>
  </si>
  <si>
    <t>Crude (WTI)</t>
  </si>
  <si>
    <t>Contractor application</t>
  </si>
  <si>
    <t>Technical data</t>
  </si>
  <si>
    <t>Cogen Extraction ST</t>
  </si>
  <si>
    <t>System efficiency up to 70% (heat + power)</t>
  </si>
  <si>
    <t>Cogen is for external industrial customers (e.g. pharma and petrochems). Part of the Tembusu Multi-Utilities Complex (TMUC), which produces steam, industrial water and demineralized water. No other info on 'biomass clean coal'. Coords are taken from the Google Maps address of TMUC Site 2 (cannot find flue tower). The plant operates a 101-MW extraction ST + 32.5 MW back-pressure ST (thus, HPR is adjustable). Cooling via sea water. The plant fires coal and biomass (woodchip + palm kernel) as its main fuel, with NG used as a backup).</t>
  </si>
  <si>
    <t>Two flue towers. Chose one closer to the Google Map address. Flue stack at 150 m (NEA)</t>
  </si>
  <si>
    <t>WtE incineration plants</t>
  </si>
  <si>
    <t>150 m flue stack</t>
  </si>
  <si>
    <t>NEA page has links to brochures of all(?) WtE plants</t>
  </si>
  <si>
    <t>eff_skewed</t>
  </si>
  <si>
    <t>Efficiency rand var*</t>
  </si>
  <si>
    <t>Cogen Total Efficiency</t>
  </si>
  <si>
    <t>Mean Time to Repair [wks]</t>
  </si>
  <si>
    <t>Average Failures per year [yr-1]</t>
  </si>
  <si>
    <t>Full Load Efficiency</t>
  </si>
  <si>
    <t>UP Time Duration</t>
  </si>
  <si>
    <t>DOWN Time Duration</t>
  </si>
  <si>
    <t>Start Online</t>
  </si>
  <si>
    <t>Unit Name</t>
  </si>
  <si>
    <t>SNK OilST</t>
  </si>
  <si>
    <t>SNK WtE</t>
  </si>
  <si>
    <t>PulSer CCP3, 4</t>
  </si>
  <si>
    <t>PulSer CCP1, 2</t>
  </si>
  <si>
    <t>PulSer OilST1</t>
  </si>
  <si>
    <t>PulSer OilST2</t>
  </si>
  <si>
    <t>TUA OilST</t>
  </si>
  <si>
    <t>JRNG OCGT</t>
  </si>
  <si>
    <t>KepMer CCP2</t>
  </si>
  <si>
    <t>KepMer CCP1</t>
  </si>
  <si>
    <t>TI CCP</t>
  </si>
  <si>
    <t>TSIP WtE</t>
  </si>
  <si>
    <t>TIP WtE</t>
  </si>
  <si>
    <t>KepSeg WtE</t>
  </si>
  <si>
    <t>TMUC CCP</t>
  </si>
  <si>
    <t>ExxMob CCP</t>
  </si>
  <si>
    <t>Also a desalination plant</t>
  </si>
  <si>
    <t>Cogen Efficiencies</t>
  </si>
  <si>
    <r>
      <t>η</t>
    </r>
    <r>
      <rPr>
        <b/>
        <sz val="9"/>
        <color theme="1"/>
        <rFont val="Calibri"/>
        <family val="2"/>
      </rPr>
      <t>overall</t>
    </r>
  </si>
  <si>
    <t>HPR</t>
  </si>
  <si>
    <r>
      <t>η</t>
    </r>
    <r>
      <rPr>
        <b/>
        <sz val="9"/>
        <color theme="1"/>
        <rFont val="Calibri"/>
        <family val="2"/>
      </rPr>
      <t>e</t>
    </r>
  </si>
  <si>
    <r>
      <t>η</t>
    </r>
    <r>
      <rPr>
        <b/>
        <sz val="9"/>
        <color theme="1"/>
        <rFont val="Calibri"/>
        <family val="2"/>
      </rPr>
      <t>h</t>
    </r>
  </si>
  <si>
    <t>high eff, max heat</t>
  </si>
  <si>
    <t>high eff, max power</t>
  </si>
  <si>
    <t>Ext-ST</t>
  </si>
  <si>
    <t>low eff, max heat</t>
  </si>
  <si>
    <t>low eff, max power</t>
  </si>
  <si>
    <t>Decision -- maximize the overall efficiency, and then let n_e be selected from the reported range</t>
  </si>
  <si>
    <t>max</t>
  </si>
  <si>
    <t>min</t>
  </si>
  <si>
    <t>MTTR [h]</t>
  </si>
  <si>
    <t>Max repair time [wk]</t>
  </si>
  <si>
    <t>MTTR [wk]</t>
  </si>
  <si>
    <t>The probability of getting fixed after 5*MTTR is &lt;&lt; 1%</t>
  </si>
  <si>
    <t>Availability [-]</t>
  </si>
  <si>
    <t>Long-term availability for entire SG fleet at around 81%</t>
  </si>
  <si>
    <t>MTTF [wk]</t>
  </si>
  <si>
    <t>MTBF [wk]</t>
  </si>
  <si>
    <t>Ave Failure per yr</t>
  </si>
  <si>
    <t>MTBF [yr]</t>
  </si>
  <si>
    <t>input here</t>
  </si>
  <si>
    <t>Methodology</t>
  </si>
  <si>
    <t>1) Assume MTTR froom 6h to 1wk (max repair time is thus 5wks)</t>
  </si>
  <si>
    <t>3) From MTTR and A, calculate MTTF, and then Ave failures per yr</t>
  </si>
  <si>
    <t>compare with: FOR in US plants</t>
  </si>
  <si>
    <t>Remember -- MTTF is the measure of reliability</t>
  </si>
  <si>
    <t>Fix these (min 2 days, max 1 wk)</t>
  </si>
  <si>
    <t>Implement in calibration</t>
  </si>
  <si>
    <t>PPdb param</t>
  </si>
  <si>
    <t>MTTR [wks]</t>
  </si>
  <si>
    <r>
      <rPr>
        <b/>
        <sz val="11"/>
        <color theme="1"/>
        <rFont val="Calibri"/>
        <family val="2"/>
        <scheme val="minor"/>
      </rPr>
      <t>uniform</t>
    </r>
    <r>
      <rPr>
        <sz val="11"/>
        <color theme="1"/>
        <rFont val="Calibri"/>
        <family val="2"/>
        <scheme val="minor"/>
      </rPr>
      <t>, 2/7 to 1</t>
    </r>
  </si>
  <si>
    <t>1) calib params:</t>
  </si>
  <si>
    <t xml:space="preserve">2) Solve the AF per yr param </t>
  </si>
  <si>
    <t>3) Set MTTR and AF to PPdb</t>
  </si>
  <si>
    <r>
      <rPr>
        <b/>
        <sz val="11"/>
        <color theme="1" tint="0.499984740745262"/>
        <rFont val="Calibri"/>
        <family val="2"/>
        <scheme val="minor"/>
      </rPr>
      <t>normal,</t>
    </r>
    <r>
      <rPr>
        <sz val="11"/>
        <color theme="1" tint="0.499984740745262"/>
        <rFont val="Calibri"/>
        <family val="2"/>
        <scheme val="minor"/>
      </rPr>
      <t xml:space="preserve"> mean=0.81 std dev=0.01</t>
    </r>
  </si>
  <si>
    <r>
      <rPr>
        <b/>
        <sz val="11"/>
        <color theme="1"/>
        <rFont val="Calibri"/>
        <family val="2"/>
        <scheme val="minor"/>
      </rPr>
      <t>uniform</t>
    </r>
    <r>
      <rPr>
        <sz val="11"/>
        <color theme="1"/>
        <rFont val="Calibri"/>
        <family val="2"/>
        <scheme val="minor"/>
      </rPr>
      <t>, 0.8 to 0.99</t>
    </r>
  </si>
  <si>
    <t>2) Use the long-term availability for all of Sg fleet as the lower bound for Alim (~81%)</t>
  </si>
  <si>
    <t>What if params are Alim and AF</t>
  </si>
  <si>
    <t>MTTF [wks]</t>
  </si>
  <si>
    <t>Alim [-]</t>
  </si>
  <si>
    <t>About Senoko WtE</t>
  </si>
  <si>
    <t>"WtE responsible for 2-3% of Sg elec needs" --&gt; consistent with 'Others' category in fuel mix (2.9% in 2016)</t>
  </si>
  <si>
    <t>ST sample</t>
  </si>
  <si>
    <t>Fuels</t>
  </si>
  <si>
    <t>NG</t>
  </si>
  <si>
    <t>HSFO</t>
  </si>
  <si>
    <t>ratio</t>
  </si>
  <si>
    <t>latent heat of combusion per unit HHV</t>
  </si>
  <si>
    <t>HHV [MJ/kg]</t>
  </si>
  <si>
    <t>LHV [MJ/kg]</t>
  </si>
  <si>
    <t>Bit Coal (wet-basis)</t>
  </si>
  <si>
    <t>OUTPUT</t>
  </si>
  <si>
    <t>Latent heat of combustion</t>
  </si>
  <si>
    <t>Electricity</t>
  </si>
  <si>
    <t>Process heat</t>
  </si>
  <si>
    <t>OTHERS</t>
  </si>
  <si>
    <t>Heat of exhaust gas</t>
  </si>
  <si>
    <t>Other combustion losses</t>
  </si>
  <si>
    <t>water vapor</t>
  </si>
  <si>
    <t>heated air</t>
  </si>
  <si>
    <t>heated water</t>
  </si>
  <si>
    <t>Stack losses</t>
  </si>
  <si>
    <t>Radiative, convective and other combustion losses</t>
  </si>
  <si>
    <t>Misc combustion losses (e.g. coal ash) ~1%</t>
  </si>
  <si>
    <t>Fuel-dependent as above</t>
  </si>
  <si>
    <t>Technically dependent on firing conditions and flue gas temp; maybe we can get an ROT</t>
  </si>
  <si>
    <t>mech+elec+ stray</t>
  </si>
  <si>
    <t>~1%</t>
  </si>
  <si>
    <t>Cooling-tech dependent</t>
  </si>
  <si>
    <t>COMBUSTION</t>
  </si>
  <si>
    <t>HEAT REJECTION</t>
  </si>
  <si>
    <t>stack</t>
  </si>
  <si>
    <t>cooling tower</t>
  </si>
  <si>
    <t>outlet</t>
  </si>
  <si>
    <t xml:space="preserve">Brayton cycle </t>
  </si>
  <si>
    <t>Now, this template looks good. Time to fill-in some numbers.</t>
  </si>
  <si>
    <t>Cooling System</t>
  </si>
  <si>
    <t>once-through</t>
  </si>
  <si>
    <t>BP-cogen</t>
  </si>
  <si>
    <t>dry-cooling</t>
  </si>
  <si>
    <t>More info</t>
  </si>
  <si>
    <t>Stack 150m</t>
  </si>
  <si>
    <t>Stack 100m</t>
  </si>
  <si>
    <t>Brochure - consumes 35% of the elec it produces</t>
  </si>
  <si>
    <t>Stack height [m]</t>
  </si>
  <si>
    <t>Condenser exhaust height [m]</t>
  </si>
  <si>
    <t>Registration Status</t>
  </si>
  <si>
    <t>GRF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</si>
</sst>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0"/>
  </numFmts>
  <fonts count="39" x14ac:knownFonts="1">
    <font>
      <sz val="11"/>
      <color theme="1"/>
      <name val="Calibri"/>
      <family val="2"/>
      <scheme val="minor"/>
    </font>
    <font>
      <b/>
      <sz val="11"/>
      <color theme="0"/>
      <name val="Calibri"/>
      <family val="2"/>
      <scheme val="minor"/>
    </font>
    <font>
      <sz val="11"/>
      <color theme="1" tint="0.499984740745262"/>
      <name val="Calibri"/>
      <family val="2"/>
      <scheme val="minor"/>
    </font>
    <font>
      <b/>
      <sz val="11"/>
      <color theme="1"/>
      <name val="Calibri"/>
      <family val="2"/>
      <scheme val="minor"/>
    </font>
    <font>
      <u/>
      <sz val="11"/>
      <color theme="10"/>
      <name val="Calibri"/>
      <family val="2"/>
      <scheme val="minor"/>
    </font>
    <font>
      <i/>
      <sz val="11"/>
      <color theme="1" tint="0.499984740745262"/>
      <name val="Calibri"/>
      <family val="2"/>
      <scheme val="minor"/>
    </font>
    <font>
      <sz val="11"/>
      <color theme="7" tint="-0.499984740745262"/>
      <name val="Calibri"/>
      <family val="2"/>
      <scheme val="minor"/>
    </font>
    <font>
      <i/>
      <sz val="11"/>
      <color theme="5" tint="-0.499984740745262"/>
      <name val="Calibri"/>
      <family val="2"/>
      <scheme val="minor"/>
    </font>
    <font>
      <sz val="9"/>
      <color indexed="81"/>
      <name val="Tahoma"/>
      <family val="2"/>
    </font>
    <font>
      <b/>
      <sz val="9"/>
      <color indexed="81"/>
      <name val="Tahoma"/>
      <family val="2"/>
    </font>
    <font>
      <sz val="11"/>
      <name val="Calibri"/>
      <family val="2"/>
      <scheme val="minor"/>
    </font>
    <font>
      <b/>
      <sz val="11"/>
      <color theme="1" tint="0.499984740745262"/>
      <name val="Calibri"/>
      <family val="2"/>
      <scheme val="minor"/>
    </font>
    <font>
      <sz val="11"/>
      <color theme="2" tint="-0.499984740745262"/>
      <name val="Calibri"/>
      <family val="2"/>
      <scheme val="minor"/>
    </font>
    <font>
      <i/>
      <sz val="11"/>
      <color theme="2" tint="-0.499984740745262"/>
      <name val="Calibri"/>
      <family val="2"/>
      <scheme val="minor"/>
    </font>
    <font>
      <u/>
      <sz val="10"/>
      <color theme="10"/>
      <name val="Calibri"/>
      <family val="2"/>
      <scheme val="minor"/>
    </font>
    <font>
      <sz val="10"/>
      <color theme="1" tint="0.499984740745262"/>
      <name val="Calibri"/>
      <family val="2"/>
      <scheme val="minor"/>
    </font>
    <font>
      <i/>
      <sz val="9"/>
      <color indexed="81"/>
      <name val="Tahoma"/>
      <family val="2"/>
    </font>
    <font>
      <b/>
      <sz val="10"/>
      <color theme="0"/>
      <name val="Calibri"/>
      <family val="2"/>
      <scheme val="minor"/>
    </font>
    <font>
      <sz val="10"/>
      <color theme="0"/>
      <name val="Calibri"/>
      <family val="2"/>
      <scheme val="minor"/>
    </font>
    <font>
      <b/>
      <sz val="10"/>
      <color theme="0"/>
      <name val="Calibri"/>
      <family val="2"/>
    </font>
    <font>
      <sz val="11"/>
      <color rgb="FFC00000"/>
      <name val="Calibri"/>
      <family val="2"/>
      <scheme val="minor"/>
    </font>
    <font>
      <i/>
      <sz val="10"/>
      <color theme="4" tint="-0.249977111117893"/>
      <name val="Calibri"/>
      <family val="2"/>
      <scheme val="minor"/>
    </font>
    <font>
      <sz val="11"/>
      <color theme="5" tint="-0.499984740745262"/>
      <name val="Calibri"/>
      <family val="2"/>
      <scheme val="minor"/>
    </font>
    <font>
      <b/>
      <sz val="11"/>
      <color theme="1"/>
      <name val="Calibri"/>
      <family val="2"/>
    </font>
    <font>
      <b/>
      <sz val="9"/>
      <color theme="1"/>
      <name val="Calibri"/>
      <family val="2"/>
    </font>
    <font>
      <sz val="10"/>
      <color theme="1"/>
      <name val="Calibri"/>
      <family val="2"/>
      <scheme val="minor"/>
    </font>
    <font>
      <i/>
      <sz val="11"/>
      <color theme="9" tint="-0.499984740745262"/>
      <name val="Calibri"/>
      <family val="2"/>
      <scheme val="minor"/>
    </font>
    <font>
      <sz val="11"/>
      <color theme="5" tint="-0.249977111117893"/>
      <name val="Calibri"/>
      <family val="2"/>
      <scheme val="minor"/>
    </font>
    <font>
      <sz val="9"/>
      <color theme="1"/>
      <name val="Calibri"/>
      <family val="2"/>
      <scheme val="minor"/>
    </font>
    <font>
      <b/>
      <sz val="9"/>
      <color theme="1"/>
      <name val="Calibri"/>
      <family val="2"/>
      <scheme val="minor"/>
    </font>
    <font>
      <sz val="11"/>
      <color theme="9" tint="-0.499984740745262"/>
      <name val="Calibri"/>
      <family val="2"/>
      <scheme val="minor"/>
    </font>
    <font>
      <b/>
      <sz val="11"/>
      <name val="Calibri"/>
      <family val="2"/>
      <scheme val="minor"/>
    </font>
    <font>
      <sz val="11"/>
      <color theme="1"/>
      <name val="Calibri"/>
      <family val="2"/>
      <scheme val="minor"/>
    </font>
    <font>
      <sz val="14"/>
      <color theme="1"/>
      <name val="Calibri"/>
      <family val="2"/>
      <scheme val="minor"/>
    </font>
    <font>
      <b/>
      <sz val="11"/>
      <color theme="4" tint="-0.249977111117893"/>
      <name val="Calibri"/>
      <family val="2"/>
      <scheme val="minor"/>
    </font>
    <font>
      <b/>
      <sz val="11"/>
      <color theme="5" tint="-0.499984740745262"/>
      <name val="Calibri"/>
      <family val="2"/>
      <scheme val="minor"/>
    </font>
    <font>
      <i/>
      <sz val="11"/>
      <color theme="1"/>
      <name val="Calibri"/>
      <family val="2"/>
      <scheme val="minor"/>
    </font>
    <font>
      <sz val="10"/>
      <name val="Calibri"/>
      <family val="2"/>
      <scheme val="minor"/>
    </font>
    <font>
      <sz val="10"/>
      <color theme="2" tint="-0.49998474074526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1" tint="0.249977111117893"/>
        <bgColor indexed="64"/>
      </patternFill>
    </fill>
    <fill>
      <patternFill patternType="solid">
        <fgColor theme="5" tint="-0.499984740745262"/>
        <bgColor indexed="64"/>
      </patternFill>
    </fill>
    <fill>
      <patternFill patternType="solid">
        <fgColor rgb="FF4C7731"/>
        <bgColor indexed="64"/>
      </patternFill>
    </fill>
    <fill>
      <patternFill patternType="solid">
        <fgColor theme="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right/>
      <top/>
      <bottom style="thin">
        <color theme="1" tint="0.499984740745262"/>
      </bottom>
      <diagonal/>
    </border>
  </borders>
  <cellStyleXfs count="3">
    <xf numFmtId="0" fontId="0" fillId="0" borderId="0"/>
    <xf numFmtId="0" fontId="4" fillId="0" borderId="0" applyNumberFormat="0" applyFill="0" applyBorder="0" applyAlignment="0" applyProtection="0"/>
    <xf numFmtId="9" fontId="32" fillId="0" borderId="0" applyFont="0" applyFill="0" applyBorder="0" applyAlignment="0" applyProtection="0"/>
  </cellStyleXfs>
  <cellXfs count="221">
    <xf numFmtId="0" fontId="0" fillId="0" borderId="0" xfId="0"/>
    <xf numFmtId="0" fontId="0" fillId="0" borderId="0" xfId="0" applyAlignment="1">
      <alignment horizontal="center"/>
    </xf>
    <xf numFmtId="0" fontId="2" fillId="0" borderId="0" xfId="0" applyFont="1"/>
    <xf numFmtId="0" fontId="0" fillId="0" borderId="0" xfId="0" applyFont="1" applyAlignment="1">
      <alignment horizontal="center"/>
    </xf>
    <xf numFmtId="0" fontId="3" fillId="3" borderId="0" xfId="0" applyFont="1" applyFill="1"/>
    <xf numFmtId="0" fontId="0" fillId="3" borderId="0" xfId="0" applyFill="1"/>
    <xf numFmtId="0" fontId="4" fillId="3" borderId="0" xfId="1" applyFill="1"/>
    <xf numFmtId="0" fontId="5" fillId="3" borderId="0" xfId="0" applyFont="1" applyFill="1"/>
    <xf numFmtId="0" fontId="0" fillId="4" borderId="0" xfId="0" applyFill="1"/>
    <xf numFmtId="0" fontId="7" fillId="3" borderId="0" xfId="0" applyFont="1" applyFill="1"/>
    <xf numFmtId="0" fontId="0" fillId="0" borderId="0" xfId="0" applyAlignment="1">
      <alignment horizontal="left"/>
    </xf>
    <xf numFmtId="0" fontId="11"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left"/>
    </xf>
    <xf numFmtId="0" fontId="0" fillId="3" borderId="1" xfId="0" applyFill="1" applyBorder="1"/>
    <xf numFmtId="0" fontId="11" fillId="3" borderId="1" xfId="0" applyFont="1" applyFill="1" applyBorder="1" applyAlignment="1">
      <alignment horizontal="center"/>
    </xf>
    <xf numFmtId="0" fontId="0" fillId="0" borderId="2" xfId="0" applyBorder="1"/>
    <xf numFmtId="0" fontId="2" fillId="0" borderId="2" xfId="0" applyFont="1" applyBorder="1"/>
    <xf numFmtId="0" fontId="0" fillId="0" borderId="2" xfId="0" applyBorder="1" applyAlignment="1">
      <alignment horizontal="left"/>
    </xf>
    <xf numFmtId="1" fontId="0" fillId="0" borderId="0" xfId="0" applyNumberFormat="1" applyAlignment="1">
      <alignment horizontal="center"/>
    </xf>
    <xf numFmtId="0" fontId="0" fillId="0" borderId="2" xfId="0" applyBorder="1" applyAlignment="1">
      <alignment horizontal="center"/>
    </xf>
    <xf numFmtId="0" fontId="0" fillId="0" borderId="3" xfId="0" applyBorder="1"/>
    <xf numFmtId="0" fontId="2" fillId="0" borderId="3" xfId="0" applyFont="1" applyBorder="1"/>
    <xf numFmtId="0" fontId="0" fillId="0" borderId="3" xfId="0" applyBorder="1" applyAlignment="1">
      <alignment horizontal="center"/>
    </xf>
    <xf numFmtId="0" fontId="10" fillId="0" borderId="3" xfId="0" applyFont="1" applyBorder="1"/>
    <xf numFmtId="0" fontId="6" fillId="3" borderId="1" xfId="0" applyFont="1" applyFill="1" applyBorder="1"/>
    <xf numFmtId="0" fontId="6" fillId="3" borderId="0" xfId="0" applyFont="1" applyFill="1" applyBorder="1"/>
    <xf numFmtId="0" fontId="0" fillId="3" borderId="0" xfId="0" applyFill="1" applyBorder="1"/>
    <xf numFmtId="0" fontId="0" fillId="0" borderId="0" xfId="0" applyFill="1" applyBorder="1"/>
    <xf numFmtId="0" fontId="4" fillId="0" borderId="0" xfId="1" applyAlignment="1">
      <alignment horizontal="left"/>
    </xf>
    <xf numFmtId="0" fontId="0" fillId="0" borderId="2" xfId="0" applyFill="1" applyBorder="1"/>
    <xf numFmtId="0" fontId="0" fillId="0" borderId="3" xfId="0" applyBorder="1" applyAlignment="1">
      <alignment horizontal="left"/>
    </xf>
    <xf numFmtId="0" fontId="0" fillId="3" borderId="4" xfId="0" applyFill="1" applyBorder="1"/>
    <xf numFmtId="1" fontId="0" fillId="0" borderId="3" xfId="0" applyNumberFormat="1" applyBorder="1" applyAlignment="1">
      <alignment horizontal="center"/>
    </xf>
    <xf numFmtId="0" fontId="13" fillId="3" borderId="0" xfId="0" applyFont="1" applyFill="1"/>
    <xf numFmtId="0" fontId="14" fillId="3" borderId="0" xfId="1" applyFont="1" applyFill="1"/>
    <xf numFmtId="0" fontId="4" fillId="3" borderId="0" xfId="1" applyFont="1" applyFill="1"/>
    <xf numFmtId="0" fontId="0" fillId="0" borderId="3" xfId="0" applyFill="1" applyBorder="1"/>
    <xf numFmtId="0" fontId="12" fillId="0" borderId="2" xfId="0" applyFont="1" applyBorder="1"/>
    <xf numFmtId="0" fontId="0" fillId="0" borderId="0" xfId="0" applyBorder="1"/>
    <xf numFmtId="0" fontId="0" fillId="2" borderId="2" xfId="0" applyFill="1" applyBorder="1" applyAlignment="1">
      <alignment horizontal="center"/>
    </xf>
    <xf numFmtId="0" fontId="0" fillId="2" borderId="2" xfId="0" applyFill="1" applyBorder="1"/>
    <xf numFmtId="0" fontId="2" fillId="2" borderId="2" xfId="0" applyFont="1" applyFill="1" applyBorder="1"/>
    <xf numFmtId="0" fontId="0" fillId="2" borderId="2" xfId="0" applyFont="1" applyFill="1" applyBorder="1" applyAlignment="1">
      <alignment horizontal="center"/>
    </xf>
    <xf numFmtId="0" fontId="0" fillId="2" borderId="2" xfId="0" applyFill="1" applyBorder="1" applyAlignment="1">
      <alignment horizontal="left"/>
    </xf>
    <xf numFmtId="0" fontId="0" fillId="2" borderId="3" xfId="0" applyFill="1" applyBorder="1" applyAlignment="1">
      <alignment horizontal="center"/>
    </xf>
    <xf numFmtId="0" fontId="0" fillId="2" borderId="3" xfId="0" applyFill="1" applyBorder="1"/>
    <xf numFmtId="0" fontId="2" fillId="2" borderId="3" xfId="0" applyFont="1" applyFill="1" applyBorder="1"/>
    <xf numFmtId="0" fontId="10" fillId="2" borderId="3" xfId="0" applyFont="1" applyFill="1" applyBorder="1"/>
    <xf numFmtId="1" fontId="0" fillId="2" borderId="3" xfId="0" applyNumberFormat="1" applyFill="1" applyBorder="1" applyAlignment="1">
      <alignment horizontal="center"/>
    </xf>
    <xf numFmtId="0" fontId="0" fillId="2" borderId="3" xfId="0" applyFill="1" applyBorder="1" applyAlignment="1">
      <alignment horizontal="left"/>
    </xf>
    <xf numFmtId="0" fontId="2" fillId="0" borderId="3" xfId="0" applyFont="1" applyFill="1" applyBorder="1"/>
    <xf numFmtId="0" fontId="2" fillId="2" borderId="2" xfId="0" applyFon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2" borderId="3" xfId="0" applyFont="1" applyFill="1" applyBorder="1" applyAlignment="1">
      <alignment horizontal="center"/>
    </xf>
    <xf numFmtId="0" fontId="15" fillId="2" borderId="3" xfId="0" applyFont="1" applyFill="1" applyBorder="1"/>
    <xf numFmtId="1" fontId="0" fillId="2" borderId="2" xfId="0" applyNumberFormat="1" applyFont="1" applyFill="1" applyBorder="1" applyAlignment="1">
      <alignment horizontal="center"/>
    </xf>
    <xf numFmtId="1" fontId="0" fillId="0" borderId="2" xfId="0" applyNumberFormat="1" applyBorder="1" applyAlignment="1">
      <alignment horizontal="center"/>
    </xf>
    <xf numFmtId="0" fontId="2" fillId="0" borderId="2" xfId="0" applyFont="1" applyFill="1" applyBorder="1" applyAlignment="1">
      <alignment horizontal="center"/>
    </xf>
    <xf numFmtId="0" fontId="2" fillId="0" borderId="2" xfId="0" applyFont="1" applyFill="1" applyBorder="1"/>
    <xf numFmtId="1" fontId="0" fillId="2" borderId="2" xfId="0" applyNumberFormat="1" applyFill="1" applyBorder="1" applyAlignment="1">
      <alignment horizontal="center"/>
    </xf>
    <xf numFmtId="0" fontId="0" fillId="2" borderId="1" xfId="0" applyFill="1" applyBorder="1" applyAlignment="1">
      <alignment horizontal="center"/>
    </xf>
    <xf numFmtId="0" fontId="0" fillId="2" borderId="1" xfId="0" applyFill="1" applyBorder="1"/>
    <xf numFmtId="0" fontId="2" fillId="2" borderId="1" xfId="0" applyFont="1" applyFill="1" applyBorder="1"/>
    <xf numFmtId="0" fontId="2" fillId="2" borderId="0" xfId="0" applyFont="1" applyFill="1" applyBorder="1" applyAlignment="1">
      <alignment horizontal="center"/>
    </xf>
    <xf numFmtId="0" fontId="2" fillId="2" borderId="0" xfId="0" applyFont="1" applyFill="1" applyBorder="1"/>
    <xf numFmtId="1" fontId="0" fillId="2" borderId="1" xfId="0" applyNumberFormat="1" applyFill="1" applyBorder="1" applyAlignment="1">
      <alignment horizontal="center"/>
    </xf>
    <xf numFmtId="0" fontId="0" fillId="2" borderId="1" xfId="0" applyFill="1" applyBorder="1" applyAlignment="1">
      <alignment horizontal="left"/>
    </xf>
    <xf numFmtId="0" fontId="0" fillId="0" borderId="0" xfId="0" applyBorder="1" applyAlignment="1">
      <alignment horizontal="center"/>
    </xf>
    <xf numFmtId="0" fontId="0" fillId="2" borderId="0" xfId="0" applyFill="1" applyBorder="1" applyAlignment="1">
      <alignment horizontal="center"/>
    </xf>
    <xf numFmtId="0" fontId="0" fillId="2" borderId="0" xfId="0" applyFill="1" applyBorder="1"/>
    <xf numFmtId="0" fontId="2" fillId="0" borderId="0" xfId="0" applyFont="1" applyBorder="1"/>
    <xf numFmtId="0" fontId="2" fillId="0" borderId="0" xfId="0" applyFont="1" applyBorder="1" applyAlignment="1">
      <alignment horizontal="center"/>
    </xf>
    <xf numFmtId="1" fontId="0" fillId="0" borderId="0" xfId="0" applyNumberFormat="1" applyBorder="1" applyAlignment="1">
      <alignment horizontal="center"/>
    </xf>
    <xf numFmtId="1" fontId="0" fillId="2" borderId="0" xfId="0" applyNumberFormat="1" applyFont="1" applyFill="1" applyBorder="1" applyAlignment="1">
      <alignment horizontal="center"/>
    </xf>
    <xf numFmtId="0" fontId="0" fillId="2" borderId="0" xfId="0" applyFont="1" applyFill="1" applyBorder="1" applyAlignment="1">
      <alignment horizontal="center"/>
    </xf>
    <xf numFmtId="0" fontId="0" fillId="0" borderId="0" xfId="0" applyBorder="1" applyAlignment="1">
      <alignment horizontal="left"/>
    </xf>
    <xf numFmtId="0" fontId="0" fillId="2" borderId="0" xfId="0" applyFont="1" applyFill="1" applyBorder="1" applyAlignment="1">
      <alignment horizontal="left"/>
    </xf>
    <xf numFmtId="0" fontId="15" fillId="0" borderId="3" xfId="0" applyFont="1" applyBorder="1"/>
    <xf numFmtId="0" fontId="17" fillId="4" borderId="0" xfId="0" applyFont="1" applyFill="1" applyAlignment="1">
      <alignment horizontal="center" wrapText="1"/>
    </xf>
    <xf numFmtId="0" fontId="17" fillId="3" borderId="0" xfId="0" applyFont="1" applyFill="1" applyAlignment="1">
      <alignment horizontal="center" wrapText="1"/>
    </xf>
    <xf numFmtId="0" fontId="20" fillId="0" borderId="3" xfId="0" applyFont="1" applyBorder="1" applyAlignment="1">
      <alignment horizontal="center"/>
    </xf>
    <xf numFmtId="0" fontId="20" fillId="2" borderId="3" xfId="0" applyFont="1" applyFill="1" applyBorder="1" applyAlignment="1">
      <alignment horizontal="center"/>
    </xf>
    <xf numFmtId="0" fontId="20" fillId="0" borderId="0" xfId="0" applyFont="1" applyAlignment="1">
      <alignment horizontal="center"/>
    </xf>
    <xf numFmtId="0" fontId="20" fillId="0" borderId="2" xfId="0" applyFont="1" applyBorder="1" applyAlignment="1">
      <alignment horizontal="center"/>
    </xf>
    <xf numFmtId="0" fontId="20" fillId="2" borderId="2" xfId="0" applyFont="1" applyFill="1" applyBorder="1" applyAlignment="1">
      <alignment horizontal="center"/>
    </xf>
    <xf numFmtId="0" fontId="21" fillId="3" borderId="0" xfId="0" applyFont="1" applyFill="1"/>
    <xf numFmtId="0" fontId="22" fillId="0" borderId="0" xfId="0" applyFont="1" applyAlignment="1">
      <alignment horizontal="center"/>
    </xf>
    <xf numFmtId="0" fontId="22" fillId="0" borderId="2" xfId="0" applyFont="1" applyBorder="1" applyAlignment="1">
      <alignment horizontal="center"/>
    </xf>
    <xf numFmtId="0" fontId="22" fillId="2" borderId="3" xfId="0" applyFont="1" applyFill="1" applyBorder="1" applyAlignment="1">
      <alignment horizontal="center"/>
    </xf>
    <xf numFmtId="0" fontId="22" fillId="0" borderId="3" xfId="0" applyFont="1" applyBorder="1" applyAlignment="1">
      <alignment horizontal="center"/>
    </xf>
    <xf numFmtId="0" fontId="1" fillId="4" borderId="0" xfId="0" applyFont="1" applyFill="1" applyAlignment="1">
      <alignment horizontal="center" wrapText="1"/>
    </xf>
    <xf numFmtId="0" fontId="1" fillId="6" borderId="0" xfId="0" applyFont="1" applyFill="1" applyAlignment="1">
      <alignment horizontal="center" wrapText="1"/>
    </xf>
    <xf numFmtId="0" fontId="1" fillId="5" borderId="0" xfId="0" applyFont="1" applyFill="1" applyAlignment="1">
      <alignment horizontal="center" wrapText="1"/>
    </xf>
    <xf numFmtId="0" fontId="1" fillId="3" borderId="0" xfId="0" applyFont="1" applyFill="1" applyAlignment="1">
      <alignment horizontal="center" wrapText="1"/>
    </xf>
    <xf numFmtId="0" fontId="1" fillId="7" borderId="0" xfId="0" applyFont="1" applyFill="1" applyAlignment="1">
      <alignment horizontal="center" wrapText="1"/>
    </xf>
    <xf numFmtId="0" fontId="10" fillId="2" borderId="0" xfId="0" applyFont="1" applyFill="1" applyBorder="1" applyAlignment="1">
      <alignment horizontal="center"/>
    </xf>
    <xf numFmtId="0" fontId="10" fillId="2" borderId="2" xfId="0" applyFont="1" applyFill="1" applyBorder="1" applyAlignment="1">
      <alignment horizontal="center"/>
    </xf>
    <xf numFmtId="0" fontId="10" fillId="0" borderId="0" xfId="0" applyFont="1" applyFill="1" applyBorder="1" applyAlignment="1">
      <alignment horizontal="center"/>
    </xf>
    <xf numFmtId="0" fontId="10" fillId="0" borderId="2" xfId="0" applyFont="1" applyFill="1" applyBorder="1" applyAlignment="1">
      <alignment horizontal="center"/>
    </xf>
    <xf numFmtId="0" fontId="22" fillId="2" borderId="2" xfId="0" applyFont="1" applyFill="1" applyBorder="1" applyAlignment="1">
      <alignment horizontal="left"/>
    </xf>
    <xf numFmtId="0" fontId="22" fillId="0" borderId="0" xfId="0" applyFont="1" applyAlignment="1">
      <alignment horizontal="left"/>
    </xf>
    <xf numFmtId="0" fontId="22" fillId="0" borderId="0" xfId="0" applyFont="1" applyBorder="1" applyAlignment="1">
      <alignment horizontal="left"/>
    </xf>
    <xf numFmtId="0" fontId="22" fillId="0" borderId="2" xfId="0" applyFont="1" applyBorder="1" applyAlignment="1">
      <alignment horizontal="left"/>
    </xf>
    <xf numFmtId="0" fontId="22" fillId="2" borderId="1" xfId="0" applyFont="1" applyFill="1" applyBorder="1" applyAlignment="1">
      <alignment horizontal="left"/>
    </xf>
    <xf numFmtId="0" fontId="22" fillId="2" borderId="3" xfId="0" applyFont="1" applyFill="1" applyBorder="1" applyAlignment="1">
      <alignment horizontal="left"/>
    </xf>
    <xf numFmtId="0" fontId="22" fillId="0" borderId="3" xfId="0" applyFont="1" applyBorder="1" applyAlignment="1">
      <alignment horizontal="left"/>
    </xf>
    <xf numFmtId="0" fontId="3" fillId="0" borderId="0" xfId="0" applyFont="1"/>
    <xf numFmtId="0" fontId="23" fillId="0" borderId="0" xfId="0" applyFont="1"/>
    <xf numFmtId="0" fontId="25" fillId="0" borderId="0" xfId="0" applyFont="1"/>
    <xf numFmtId="2" fontId="0" fillId="0" borderId="0" xfId="0" applyNumberFormat="1" applyFont="1"/>
    <xf numFmtId="2" fontId="0" fillId="0" borderId="0" xfId="0" applyNumberFormat="1"/>
    <xf numFmtId="0" fontId="26" fillId="0" borderId="0" xfId="0" applyFont="1"/>
    <xf numFmtId="165" fontId="0" fillId="0" borderId="0" xfId="0" applyNumberFormat="1"/>
    <xf numFmtId="0" fontId="27" fillId="0" borderId="0" xfId="0" applyFont="1"/>
    <xf numFmtId="0" fontId="0" fillId="2" borderId="0" xfId="0" applyFill="1"/>
    <xf numFmtId="0" fontId="26" fillId="2" borderId="0" xfId="0" applyFont="1" applyFill="1"/>
    <xf numFmtId="0" fontId="23" fillId="2" borderId="0" xfId="0" applyFont="1" applyFill="1"/>
    <xf numFmtId="0" fontId="3" fillId="2" borderId="0" xfId="0" applyFont="1" applyFill="1"/>
    <xf numFmtId="2" fontId="0" fillId="2" borderId="0" xfId="0" applyNumberFormat="1" applyFill="1"/>
    <xf numFmtId="2" fontId="27" fillId="2" borderId="0" xfId="0" applyNumberFormat="1" applyFont="1" applyFill="1"/>
    <xf numFmtId="0" fontId="0" fillId="0" borderId="4" xfId="0" applyBorder="1"/>
    <xf numFmtId="0" fontId="3" fillId="0" borderId="0" xfId="0" applyFont="1" applyAlignment="1">
      <alignment horizontal="right"/>
    </xf>
    <xf numFmtId="0" fontId="0" fillId="8" borderId="0" xfId="0" applyFill="1"/>
    <xf numFmtId="0" fontId="3" fillId="9" borderId="0" xfId="0" applyFont="1" applyFill="1" applyAlignment="1">
      <alignment horizontal="right"/>
    </xf>
    <xf numFmtId="0" fontId="0" fillId="9" borderId="0" xfId="0" applyFill="1"/>
    <xf numFmtId="0" fontId="28" fillId="8" borderId="0" xfId="0" applyFont="1" applyFill="1"/>
    <xf numFmtId="2" fontId="3" fillId="0" borderId="0" xfId="0" applyNumberFormat="1" applyFont="1"/>
    <xf numFmtId="0" fontId="3" fillId="8" borderId="0" xfId="0" applyFont="1" applyFill="1"/>
    <xf numFmtId="0" fontId="14" fillId="0" borderId="0" xfId="1" applyFont="1"/>
    <xf numFmtId="0" fontId="3" fillId="0" borderId="0" xfId="0" applyFont="1" applyFill="1"/>
    <xf numFmtId="0" fontId="29" fillId="9" borderId="0" xfId="0" applyFont="1" applyFill="1"/>
    <xf numFmtId="164" fontId="10" fillId="0" borderId="0" xfId="0" applyNumberFormat="1" applyFont="1" applyAlignment="1">
      <alignment horizontal="center"/>
    </xf>
    <xf numFmtId="164" fontId="10" fillId="2" borderId="3" xfId="0" applyNumberFormat="1" applyFont="1" applyFill="1" applyBorder="1" applyAlignment="1">
      <alignment horizontal="center"/>
    </xf>
    <xf numFmtId="164" fontId="10" fillId="2" borderId="1" xfId="0" applyNumberFormat="1" applyFont="1" applyFill="1" applyBorder="1" applyAlignment="1">
      <alignment horizontal="center"/>
    </xf>
    <xf numFmtId="164" fontId="10" fillId="2" borderId="2" xfId="0" applyNumberFormat="1" applyFont="1" applyFill="1" applyBorder="1" applyAlignment="1">
      <alignment horizontal="center"/>
    </xf>
    <xf numFmtId="2" fontId="2" fillId="2" borderId="0" xfId="0" applyNumberFormat="1" applyFont="1" applyFill="1" applyBorder="1" applyAlignment="1">
      <alignment horizontal="center"/>
    </xf>
    <xf numFmtId="2" fontId="2" fillId="2" borderId="2" xfId="0" applyNumberFormat="1" applyFont="1" applyFill="1" applyBorder="1" applyAlignment="1">
      <alignment horizontal="center"/>
    </xf>
    <xf numFmtId="2" fontId="2" fillId="0" borderId="0" xfId="0" applyNumberFormat="1" applyFont="1" applyAlignment="1">
      <alignment horizontal="center"/>
    </xf>
    <xf numFmtId="2" fontId="2" fillId="0" borderId="0" xfId="0" applyNumberFormat="1" applyFont="1" applyBorder="1" applyAlignment="1">
      <alignment horizontal="center"/>
    </xf>
    <xf numFmtId="2" fontId="2" fillId="0" borderId="2" xfId="0" applyNumberFormat="1" applyFont="1" applyBorder="1" applyAlignment="1">
      <alignment horizontal="center"/>
    </xf>
    <xf numFmtId="2" fontId="30" fillId="2" borderId="0" xfId="0" applyNumberFormat="1" applyFont="1" applyFill="1" applyBorder="1" applyAlignment="1">
      <alignment horizontal="center"/>
    </xf>
    <xf numFmtId="2" fontId="30" fillId="2" borderId="5" xfId="0" applyNumberFormat="1" applyFont="1" applyFill="1" applyBorder="1" applyAlignment="1">
      <alignment horizontal="center"/>
    </xf>
    <xf numFmtId="2" fontId="30" fillId="0" borderId="0" xfId="0" applyNumberFormat="1" applyFont="1" applyAlignment="1">
      <alignment horizontal="center"/>
    </xf>
    <xf numFmtId="2" fontId="30" fillId="0" borderId="0" xfId="0" applyNumberFormat="1" applyFont="1" applyBorder="1" applyAlignment="1">
      <alignment horizontal="center"/>
    </xf>
    <xf numFmtId="2" fontId="30" fillId="0" borderId="2" xfId="0" applyNumberFormat="1" applyFont="1" applyBorder="1" applyAlignment="1">
      <alignment horizontal="center"/>
    </xf>
    <xf numFmtId="2" fontId="30" fillId="2" borderId="3" xfId="0" applyNumberFormat="1" applyFont="1" applyFill="1" applyBorder="1" applyAlignment="1">
      <alignment horizontal="center"/>
    </xf>
    <xf numFmtId="2" fontId="30" fillId="0" borderId="3" xfId="0" applyNumberFormat="1" applyFont="1" applyBorder="1" applyAlignment="1">
      <alignment horizontal="center"/>
    </xf>
    <xf numFmtId="2" fontId="30" fillId="2" borderId="2" xfId="0" applyNumberFormat="1" applyFont="1" applyFill="1" applyBorder="1" applyAlignment="1">
      <alignment horizontal="center"/>
    </xf>
    <xf numFmtId="164" fontId="30" fillId="0" borderId="0" xfId="0" applyNumberFormat="1" applyFont="1" applyAlignment="1">
      <alignment horizontal="center"/>
    </xf>
    <xf numFmtId="164" fontId="30" fillId="2" borderId="3" xfId="0" applyNumberFormat="1" applyFont="1" applyFill="1" applyBorder="1" applyAlignment="1">
      <alignment horizontal="center"/>
    </xf>
    <xf numFmtId="164" fontId="30" fillId="0" borderId="3" xfId="0" applyNumberFormat="1" applyFont="1" applyBorder="1" applyAlignment="1">
      <alignment horizontal="center"/>
    </xf>
    <xf numFmtId="164" fontId="30" fillId="2" borderId="1" xfId="0" applyNumberFormat="1" applyFont="1" applyFill="1" applyBorder="1" applyAlignment="1">
      <alignment horizontal="center"/>
    </xf>
    <xf numFmtId="164" fontId="30" fillId="2" borderId="2" xfId="0" applyNumberFormat="1" applyFont="1" applyFill="1" applyBorder="1" applyAlignment="1">
      <alignment horizontal="center"/>
    </xf>
    <xf numFmtId="164" fontId="30" fillId="2" borderId="0" xfId="0" applyNumberFormat="1" applyFont="1" applyFill="1" applyBorder="1" applyAlignment="1">
      <alignment horizontal="center"/>
    </xf>
    <xf numFmtId="164" fontId="30" fillId="0" borderId="0" xfId="0" applyNumberFormat="1" applyFont="1" applyBorder="1" applyAlignment="1">
      <alignment horizontal="center"/>
    </xf>
    <xf numFmtId="164" fontId="30" fillId="0" borderId="2" xfId="0" applyNumberFormat="1" applyFont="1" applyBorder="1" applyAlignment="1">
      <alignment horizontal="center"/>
    </xf>
    <xf numFmtId="1" fontId="2" fillId="2" borderId="0" xfId="0" applyNumberFormat="1" applyFont="1" applyFill="1" applyBorder="1" applyAlignment="1">
      <alignment horizontal="center"/>
    </xf>
    <xf numFmtId="1" fontId="2" fillId="2" borderId="5" xfId="0" applyNumberFormat="1" applyFont="1" applyFill="1" applyBorder="1" applyAlignment="1">
      <alignment horizontal="center"/>
    </xf>
    <xf numFmtId="1" fontId="2" fillId="0" borderId="0" xfId="0" applyNumberFormat="1" applyFont="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1" fontId="2" fillId="2" borderId="3" xfId="0" applyNumberFormat="1" applyFont="1" applyFill="1" applyBorder="1" applyAlignment="1">
      <alignment horizontal="center"/>
    </xf>
    <xf numFmtId="1" fontId="2" fillId="0" borderId="3" xfId="0" applyNumberFormat="1" applyFont="1" applyBorder="1" applyAlignment="1">
      <alignment horizontal="center"/>
    </xf>
    <xf numFmtId="1" fontId="2" fillId="2" borderId="2" xfId="0" applyNumberFormat="1" applyFont="1" applyFill="1" applyBorder="1" applyAlignment="1">
      <alignment horizontal="center"/>
    </xf>
    <xf numFmtId="0" fontId="0" fillId="10" borderId="0" xfId="0" applyFill="1"/>
    <xf numFmtId="0" fontId="31" fillId="3" borderId="0" xfId="0" applyFont="1" applyFill="1" applyAlignment="1">
      <alignment horizontal="center" wrapText="1"/>
    </xf>
    <xf numFmtId="0" fontId="10" fillId="0" borderId="0" xfId="0" applyFont="1" applyAlignment="1">
      <alignment horizontal="center"/>
    </xf>
    <xf numFmtId="0" fontId="10" fillId="0" borderId="0" xfId="0" applyFont="1" applyBorder="1" applyAlignment="1">
      <alignment horizontal="center"/>
    </xf>
    <xf numFmtId="0" fontId="10" fillId="0" borderId="2" xfId="0" applyFont="1" applyBorder="1" applyAlignment="1">
      <alignment horizontal="center"/>
    </xf>
    <xf numFmtId="0" fontId="10" fillId="2" borderId="3" xfId="0" applyFont="1" applyFill="1" applyBorder="1" applyAlignment="1">
      <alignment horizontal="center"/>
    </xf>
    <xf numFmtId="0" fontId="10" fillId="0" borderId="3" xfId="0" applyFont="1" applyBorder="1" applyAlignment="1">
      <alignment horizontal="center"/>
    </xf>
    <xf numFmtId="0" fontId="10" fillId="2" borderId="1" xfId="0" applyFont="1" applyFill="1" applyBorder="1" applyAlignment="1">
      <alignment horizontal="center"/>
    </xf>
    <xf numFmtId="164" fontId="0" fillId="2" borderId="3" xfId="0" applyNumberFormat="1" applyFill="1" applyBorder="1" applyAlignment="1">
      <alignment horizontal="center"/>
    </xf>
    <xf numFmtId="0" fontId="33" fillId="0" borderId="0" xfId="0" applyFont="1"/>
    <xf numFmtId="0" fontId="0" fillId="0" borderId="0" xfId="0" applyAlignment="1">
      <alignment horizontal="right"/>
    </xf>
    <xf numFmtId="0" fontId="34" fillId="0" borderId="0" xfId="0" applyFont="1" applyAlignment="1">
      <alignment horizontal="right"/>
    </xf>
    <xf numFmtId="0" fontId="35" fillId="0" borderId="0" xfId="0" applyFont="1" applyAlignment="1">
      <alignment horizontal="right"/>
    </xf>
    <xf numFmtId="0" fontId="0" fillId="0" borderId="0" xfId="0" applyFont="1" applyAlignment="1">
      <alignment horizontal="right"/>
    </xf>
    <xf numFmtId="0" fontId="4" fillId="0" borderId="0" xfId="1"/>
    <xf numFmtId="10" fontId="0" fillId="0" borderId="0" xfId="2" applyNumberFormat="1" applyFont="1"/>
    <xf numFmtId="0" fontId="36" fillId="0" borderId="0" xfId="0" applyFont="1"/>
    <xf numFmtId="0" fontId="5" fillId="0" borderId="0" xfId="0" applyFont="1"/>
    <xf numFmtId="0" fontId="25" fillId="2" borderId="0" xfId="0" applyFont="1" applyFill="1" applyBorder="1" applyAlignment="1">
      <alignment horizontal="center"/>
    </xf>
    <xf numFmtId="0" fontId="37" fillId="2" borderId="2" xfId="0" applyFont="1" applyFill="1" applyBorder="1" applyAlignment="1">
      <alignment horizontal="center"/>
    </xf>
    <xf numFmtId="0" fontId="25" fillId="0" borderId="0" xfId="0" applyFont="1" applyAlignment="1">
      <alignment horizontal="center"/>
    </xf>
    <xf numFmtId="0" fontId="25" fillId="0" borderId="0" xfId="0" applyFont="1" applyBorder="1" applyAlignment="1">
      <alignment horizontal="center"/>
    </xf>
    <xf numFmtId="0" fontId="25" fillId="2" borderId="1" xfId="0" applyFont="1" applyFill="1" applyBorder="1" applyAlignment="1">
      <alignment horizontal="center"/>
    </xf>
    <xf numFmtId="0" fontId="25" fillId="2" borderId="2" xfId="0" applyFont="1" applyFill="1" applyBorder="1" applyAlignment="1">
      <alignment horizontal="center"/>
    </xf>
    <xf numFmtId="0" fontId="25" fillId="0" borderId="2" xfId="0" applyFont="1" applyBorder="1" applyAlignment="1">
      <alignment horizontal="center"/>
    </xf>
    <xf numFmtId="0" fontId="25" fillId="0" borderId="3" xfId="0" applyFont="1" applyBorder="1" applyAlignment="1">
      <alignment horizontal="center"/>
    </xf>
    <xf numFmtId="0" fontId="15" fillId="2" borderId="0" xfId="0" applyFont="1" applyFill="1" applyBorder="1"/>
    <xf numFmtId="0" fontId="15" fillId="2" borderId="2" xfId="0" applyFont="1" applyFill="1" applyBorder="1"/>
    <xf numFmtId="0" fontId="15" fillId="0" borderId="0" xfId="0" applyFont="1"/>
    <xf numFmtId="0" fontId="15" fillId="0" borderId="0" xfId="0" applyFont="1" applyBorder="1"/>
    <xf numFmtId="0" fontId="25" fillId="0" borderId="2" xfId="0" applyFont="1" applyBorder="1"/>
    <xf numFmtId="0" fontId="25" fillId="0" borderId="0" xfId="0" applyFont="1" applyBorder="1"/>
    <xf numFmtId="0" fontId="25" fillId="2" borderId="3" xfId="0" applyFont="1" applyFill="1" applyBorder="1"/>
    <xf numFmtId="0" fontId="25" fillId="2" borderId="1" xfId="0" applyFont="1" applyFill="1" applyBorder="1"/>
    <xf numFmtId="0" fontId="38" fillId="0" borderId="2" xfId="0" applyFont="1" applyBorder="1"/>
    <xf numFmtId="2" fontId="0" fillId="2" borderId="0" xfId="0" applyNumberFormat="1" applyFont="1" applyFill="1" applyBorder="1" applyAlignment="1">
      <alignment horizontal="center"/>
    </xf>
    <xf numFmtId="2" fontId="0" fillId="2" borderId="2" xfId="0" applyNumberFormat="1" applyFont="1" applyFill="1" applyBorder="1" applyAlignment="1">
      <alignment horizontal="center"/>
    </xf>
    <xf numFmtId="2" fontId="10" fillId="0" borderId="0" xfId="0" applyNumberFormat="1" applyFont="1" applyAlignment="1">
      <alignment horizontal="center"/>
    </xf>
    <xf numFmtId="2" fontId="0" fillId="0" borderId="0" xfId="0" applyNumberFormat="1" applyFont="1" applyAlignment="1">
      <alignment horizontal="center"/>
    </xf>
    <xf numFmtId="2" fontId="10" fillId="0" borderId="0" xfId="0" applyNumberFormat="1" applyFont="1" applyBorder="1" applyAlignment="1">
      <alignment horizontal="center"/>
    </xf>
    <xf numFmtId="2" fontId="0" fillId="0" borderId="0" xfId="0" applyNumberFormat="1" applyFont="1" applyBorder="1" applyAlignment="1">
      <alignment horizontal="center"/>
    </xf>
    <xf numFmtId="2" fontId="10" fillId="0" borderId="2" xfId="0" applyNumberFormat="1" applyFont="1" applyBorder="1" applyAlignment="1">
      <alignment horizontal="center"/>
    </xf>
    <xf numFmtId="2" fontId="0" fillId="0" borderId="2" xfId="0" applyNumberFormat="1" applyFont="1" applyBorder="1" applyAlignment="1">
      <alignment horizontal="center"/>
    </xf>
    <xf numFmtId="2" fontId="0" fillId="2" borderId="3" xfId="0" applyNumberFormat="1" applyFill="1" applyBorder="1" applyAlignment="1">
      <alignment horizontal="center"/>
    </xf>
    <xf numFmtId="2" fontId="10" fillId="0" borderId="0" xfId="0" applyNumberFormat="1" applyFont="1" applyFill="1" applyBorder="1" applyAlignment="1">
      <alignment horizontal="center"/>
    </xf>
    <xf numFmtId="2" fontId="0" fillId="0" borderId="0" xfId="0" applyNumberFormat="1" applyFill="1" applyBorder="1" applyAlignment="1">
      <alignment horizontal="center"/>
    </xf>
    <xf numFmtId="2" fontId="10" fillId="0" borderId="2" xfId="0" applyNumberFormat="1" applyFont="1" applyFill="1" applyBorder="1" applyAlignment="1">
      <alignment horizontal="center"/>
    </xf>
    <xf numFmtId="2" fontId="0" fillId="0" borderId="2" xfId="0" applyNumberFormat="1" applyFill="1" applyBorder="1" applyAlignment="1">
      <alignment horizontal="center"/>
    </xf>
    <xf numFmtId="2" fontId="10" fillId="2" borderId="3" xfId="0" applyNumberFormat="1" applyFont="1" applyFill="1" applyBorder="1" applyAlignment="1">
      <alignment horizontal="center"/>
    </xf>
    <xf numFmtId="2" fontId="10" fillId="0" borderId="3" xfId="0" applyNumberFormat="1" applyFont="1" applyFill="1" applyBorder="1" applyAlignment="1">
      <alignment horizontal="center"/>
    </xf>
    <xf numFmtId="2" fontId="0" fillId="0" borderId="3" xfId="0" applyNumberFormat="1" applyFill="1" applyBorder="1" applyAlignment="1">
      <alignment horizontal="center"/>
    </xf>
    <xf numFmtId="2" fontId="0" fillId="2" borderId="1" xfId="0" applyNumberFormat="1" applyFill="1" applyBorder="1" applyAlignment="1">
      <alignment horizontal="center"/>
    </xf>
    <xf numFmtId="2" fontId="0" fillId="2" borderId="2" xfId="0" applyNumberFormat="1" applyFill="1" applyBorder="1" applyAlignment="1">
      <alignment horizontal="center"/>
    </xf>
    <xf numFmtId="2" fontId="0" fillId="0" borderId="3" xfId="0" applyNumberFormat="1" applyBorder="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4C7731"/>
      <color rgb="FFEFF6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s://www.nrdc.org/experts/rachel-fakhry/myth-247365-power-plant"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industryabout.com/country-territories-3/1100-singapore/fossil-fuels-energy/14875-jurong-gas-power-plant" TargetMode="External"/><Relationship Id="rId18" Type="http://schemas.openxmlformats.org/officeDocument/2006/relationships/hyperlink" Target="https://www.sembcorp.com/en/media/514410/utilities-brochure-2018.pdf" TargetMode="External"/><Relationship Id="rId26" Type="http://schemas.openxmlformats.org/officeDocument/2006/relationships/hyperlink" Target="https://www.nea.gov.sg/docs/default-source/our-services/tip-brochure.pdf" TargetMode="External"/><Relationship Id="rId39" Type="http://schemas.openxmlformats.org/officeDocument/2006/relationships/hyperlink" Target="http://www.wildsingapore.com/news/20070910/070906-1.htm" TargetMode="External"/><Relationship Id="rId21" Type="http://schemas.openxmlformats.org/officeDocument/2006/relationships/hyperlink" Target="https://en.wikipedia.org/wiki/PacificLight" TargetMode="External"/><Relationship Id="rId34" Type="http://schemas.openxmlformats.org/officeDocument/2006/relationships/hyperlink" Target="https://www.reuters.com/article/us-singapore-exxon-plant/exxonmobil-opens-third-cogeneration-power-plant-in-singapore-idUSKBN1CH07O" TargetMode="External"/><Relationship Id="rId42" Type="http://schemas.openxmlformats.org/officeDocument/2006/relationships/hyperlink" Target="https://www.nea.gov.sg/our-services/waste-management/3r-programmes-and-resources/waste-management-infrastructure/waste-to-energy-and-incineration-plants" TargetMode="External"/><Relationship Id="rId7" Type="http://schemas.openxmlformats.org/officeDocument/2006/relationships/hyperlink" Target="https://www.businesstimes.com.sg/sites/default/files/attachment/2018/05/25/Singapore%27s%20largest%20power%20generating%20companies_0.pdf" TargetMode="External"/><Relationship Id="rId2" Type="http://schemas.openxmlformats.org/officeDocument/2006/relationships/hyperlink" Target="https://en.wikipedia.org/wiki/List_of_power_stations_in_Singapore" TargetMode="External"/><Relationship Id="rId16" Type="http://schemas.openxmlformats.org/officeDocument/2006/relationships/hyperlink" Target="https://www.tuaspower.com.sg/contact-us/" TargetMode="External"/><Relationship Id="rId29" Type="http://schemas.openxmlformats.org/officeDocument/2006/relationships/hyperlink" Target="https://www.straitstimes.com/singapore/singapores-first-coal-burning-utility-plant-now-operational" TargetMode="External"/><Relationship Id="rId1" Type="http://schemas.openxmlformats.org/officeDocument/2006/relationships/hyperlink" Target="https://en.wikipedia.org/wiki/Senoko_Power_Station" TargetMode="External"/><Relationship Id="rId6" Type="http://schemas.openxmlformats.org/officeDocument/2006/relationships/hyperlink" Target="https://www.ema.gov.sg/Licensees_Electricity_Generation_Company.aspx" TargetMode="External"/><Relationship Id="rId11" Type="http://schemas.openxmlformats.org/officeDocument/2006/relationships/hyperlink" Target="https://ytlpowerseraya.com.sg/news/news-releases/first-generation-company-in-singapore-to-offer-multi-fuel-options/" TargetMode="External"/><Relationship Id="rId24" Type="http://schemas.openxmlformats.org/officeDocument/2006/relationships/hyperlink" Target="https://www.nea.gov.sg/docs/default-source/our-services/waste-management/tsip-brochure_printed-2018.pdf" TargetMode="External"/><Relationship Id="rId32" Type="http://schemas.openxmlformats.org/officeDocument/2006/relationships/hyperlink" Target="http://www.abb.com.sg/cawp/seitp202/c3b4000d0e7f06db4825786b002a1029.aspx" TargetMode="External"/><Relationship Id="rId37" Type="http://schemas.openxmlformats.org/officeDocument/2006/relationships/hyperlink" Target="https://www.asiaone.com/print/News/Latest%2BNews/Singapore/Story/A1Story20130227-405005.html" TargetMode="External"/><Relationship Id="rId40" Type="http://schemas.openxmlformats.org/officeDocument/2006/relationships/hyperlink" Target="https://www.power-technology.com/projects/sembcorp-plant/" TargetMode="External"/><Relationship Id="rId45" Type="http://schemas.openxmlformats.org/officeDocument/2006/relationships/vmlDrawing" Target="../drawings/vmlDrawing5.vml"/><Relationship Id="rId5" Type="http://schemas.openxmlformats.org/officeDocument/2006/relationships/hyperlink" Target="http://eresources.nlb.gov.sg/infopedia/articles/SIP_2014-06-24_080707.html" TargetMode="External"/><Relationship Id="rId15" Type="http://schemas.openxmlformats.org/officeDocument/2006/relationships/hyperlink" Target="https://en.wikipedia.org/wiki/Tuas_Power" TargetMode="External"/><Relationship Id="rId23" Type="http://schemas.openxmlformats.org/officeDocument/2006/relationships/hyperlink" Target="https://hyflux.com/highlights/tuaspring-iwpp-singapore/" TargetMode="External"/><Relationship Id="rId28" Type="http://schemas.openxmlformats.org/officeDocument/2006/relationships/hyperlink" Target="http://www.keppelseghers.com/en/content.aspx?sid=3028" TargetMode="External"/><Relationship Id="rId36" Type="http://schemas.openxmlformats.org/officeDocument/2006/relationships/hyperlink" Target="https://www.businesstimes.com.sg/companies-markets/tuas-power-starts-up-its-gas-fired-cogen-plant" TargetMode="External"/><Relationship Id="rId10" Type="http://schemas.openxmlformats.org/officeDocument/2006/relationships/hyperlink" Target="https://ytlpowerseraya.com.sg/wp-content/uploads/2014/10/power-seraya-annual-report-2009-2010.pdf" TargetMode="External"/><Relationship Id="rId19" Type="http://schemas.openxmlformats.org/officeDocument/2006/relationships/hyperlink" Target="https://www.straitstimes.com/business/companies-markets/sembcorp-opens-635-million-co-gen-plant-in-jurong-island" TargetMode="External"/><Relationship Id="rId31" Type="http://schemas.openxmlformats.org/officeDocument/2006/relationships/hyperlink" Target="https://www.tuaspower.com.sg/tembusu-multi-utilities-complex/" TargetMode="External"/><Relationship Id="rId44" Type="http://schemas.openxmlformats.org/officeDocument/2006/relationships/printerSettings" Target="../printerSettings/printerSettings5.bin"/><Relationship Id="rId4" Type="http://schemas.openxmlformats.org/officeDocument/2006/relationships/hyperlink" Target="https://www.todayonline.com/singapore/decommissioned-power-station-turns-art-market-day" TargetMode="External"/><Relationship Id="rId9" Type="http://schemas.openxmlformats.org/officeDocument/2006/relationships/hyperlink" Target="https://ytlpowerseraya.com.sg/news/news-releases/powerseraya-unveils-plan-to-transform-business-and-power-growth/" TargetMode="External"/><Relationship Id="rId14" Type="http://schemas.openxmlformats.org/officeDocument/2006/relationships/hyperlink" Target="https://www.tuaspower.com.sg/power-generation/" TargetMode="External"/><Relationship Id="rId22" Type="http://schemas.openxmlformats.org/officeDocument/2006/relationships/hyperlink" Target="https://pacificlight.com.sg/media-centre/newsroom-article/pacificlight-power-launches-1.2-billion-power-plant" TargetMode="External"/><Relationship Id="rId27" Type="http://schemas.openxmlformats.org/officeDocument/2006/relationships/hyperlink" Target="https://d2oc0ihd6a5bt.cloudfront.net/wp-content/uploads/sites/837/2016/03/B4_2_TUAN-Loh-Ah_Keppel-Seghers-Engineering-Singapore.pdf" TargetMode="External"/><Relationship Id="rId30" Type="http://schemas.openxmlformats.org/officeDocument/2006/relationships/hyperlink" Target="https://www.eco-business.com/news/hyflux-awarded-438m-seawater-desalination-plant-co/" TargetMode="External"/><Relationship Id="rId35" Type="http://schemas.openxmlformats.org/officeDocument/2006/relationships/hyperlink" Target="https://www.straitstimes.com/singapore/generating-power-responsibly" TargetMode="External"/><Relationship Id="rId43" Type="http://schemas.openxmlformats.org/officeDocument/2006/relationships/hyperlink" Target="https://clubs.ntu.edu.sg/earthlink/website/index.php/sustainability-sg/waste-trail-journey/waste-to-energy-plant/" TargetMode="External"/><Relationship Id="rId8" Type="http://schemas.openxmlformats.org/officeDocument/2006/relationships/hyperlink" Target="https://ytlpowerseraya.com.sg/contact-us/" TargetMode="External"/><Relationship Id="rId3" Type="http://schemas.openxmlformats.org/officeDocument/2006/relationships/hyperlink" Target="https://www.senokoenergy.com/downloads/media-releases/Senoko_2012.pdf" TargetMode="External"/><Relationship Id="rId12" Type="http://schemas.openxmlformats.org/officeDocument/2006/relationships/hyperlink" Target="https://ytlpowerseraya.com.sg/news/media-resource/" TargetMode="External"/><Relationship Id="rId17" Type="http://schemas.openxmlformats.org/officeDocument/2006/relationships/hyperlink" Target="https://www.spglobal.com/platts/en/market-insights/latest-news/electric-power/021612-japan-starts-using-espo-crude-oil-as-direct-burning-feedstock-for-power" TargetMode="External"/><Relationship Id="rId25" Type="http://schemas.openxmlformats.org/officeDocument/2006/relationships/hyperlink" Target="https://www.nea.gov.sg/our-services/waste-management/waste-management-infrastructure/refuse-disposal-facility" TargetMode="External"/><Relationship Id="rId33" Type="http://schemas.openxmlformats.org/officeDocument/2006/relationships/hyperlink" Target="https://library.e.abb.com/public/3d6d1c1b5ff54dc89c92e41be2e135c8/Project%20profiles_EBoP_BMCC_SG_18%20Dec%202014.pdf" TargetMode="External"/><Relationship Id="rId38" Type="http://schemas.openxmlformats.org/officeDocument/2006/relationships/hyperlink" Target="https://www.exxonmobil.com.sg/en-sg/company/news-and-updates/news-releases/20171012-exxonmobil-completes-new-cogeneration-plant-in-singapore" TargetMode="External"/><Relationship Id="rId46" Type="http://schemas.openxmlformats.org/officeDocument/2006/relationships/comments" Target="../comments5.xml"/><Relationship Id="rId20" Type="http://schemas.openxmlformats.org/officeDocument/2006/relationships/hyperlink" Target="http://www.kepinfratrust.com/portfolio/energy/keppel-merlimau-cogen-plant/" TargetMode="External"/><Relationship Id="rId41" Type="http://schemas.openxmlformats.org/officeDocument/2006/relationships/hyperlink" Target="https://www.tuaspower.com.sg/wp-content/uploads/2018/11/SRC-Template_CT40006592-6.pd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nuclear-power.net/nuclear-engineering/thermodynamics/thermodynamic-cycles/brayton-cycle-gas-turbine-engine/thermal-efficiency-brayton-cycle/" TargetMode="External"/><Relationship Id="rId2" Type="http://schemas.openxmlformats.org/officeDocument/2006/relationships/hyperlink" Target="https://www.nrcan.gc.ca/mining-materials/publications/boiler-system-energy-losses/stack-losses-general-methodology/5433" TargetMode="External"/><Relationship Id="rId1" Type="http://schemas.openxmlformats.org/officeDocument/2006/relationships/hyperlink" Target="https://www.nrcan.gc.ca/energy/efficiency/industry/technical-info/tools/boilers/5429"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U27"/>
  <sheetViews>
    <sheetView tabSelected="1" zoomScaleNormal="100" workbookViewId="0">
      <pane xSplit="2" ySplit="1" topLeftCell="C2" activePane="bottomRight" state="frozen"/>
      <selection pane="topRight" activeCell="C1" sqref="C1"/>
      <selection pane="bottomLeft" activeCell="A2" sqref="A2"/>
      <selection pane="bottomRight" activeCell="I33" sqref="I33"/>
    </sheetView>
  </sheetViews>
  <sheetFormatPr defaultRowHeight="14.6" x14ac:dyDescent="0.4"/>
  <cols>
    <col min="1" max="1" width="7.3046875" customWidth="1"/>
    <col min="2" max="2" width="26.84375" customWidth="1"/>
    <col min="3" max="3" width="28.69140625" bestFit="1" customWidth="1"/>
    <col min="4" max="6" width="10.69140625" customWidth="1"/>
    <col min="7" max="8" width="16.53515625" style="1" customWidth="1"/>
    <col min="9" max="9" width="24.3046875" style="1" bestFit="1" customWidth="1"/>
    <col min="10" max="10" width="17" style="1" customWidth="1"/>
    <col min="11" max="14" width="14.3046875" style="1" customWidth="1"/>
    <col min="15" max="15" width="18.3046875" style="1" customWidth="1"/>
    <col min="16" max="16" width="14.3046875" style="10" customWidth="1"/>
    <col min="17" max="17" width="16.3828125" style="10" customWidth="1"/>
    <col min="18" max="19" width="11.84375" customWidth="1"/>
    <col min="20" max="20" width="109.3828125" bestFit="1" customWidth="1"/>
    <col min="21" max="21" width="62.3046875" style="111" customWidth="1"/>
  </cols>
  <sheetData>
    <row r="1" spans="1:21" s="82" customFormat="1" ht="25.75" x14ac:dyDescent="0.35">
      <c r="A1" s="81" t="s">
        <v>79</v>
      </c>
      <c r="B1" s="81" t="s">
        <v>80</v>
      </c>
      <c r="C1" s="81" t="s">
        <v>2</v>
      </c>
      <c r="D1" s="81" t="s">
        <v>137</v>
      </c>
      <c r="E1" s="81" t="s">
        <v>165</v>
      </c>
      <c r="F1" s="81" t="s">
        <v>166</v>
      </c>
      <c r="G1" s="81" t="s">
        <v>162</v>
      </c>
      <c r="H1" s="81" t="s">
        <v>336</v>
      </c>
      <c r="I1" s="81" t="s">
        <v>193</v>
      </c>
      <c r="J1" s="81" t="s">
        <v>0</v>
      </c>
      <c r="K1" s="81" t="s">
        <v>4</v>
      </c>
      <c r="L1" s="81" t="s">
        <v>203</v>
      </c>
      <c r="M1" s="81" t="s">
        <v>326</v>
      </c>
      <c r="N1" s="81" t="s">
        <v>334</v>
      </c>
      <c r="O1" s="81" t="s">
        <v>335</v>
      </c>
      <c r="P1" s="81" t="s">
        <v>229</v>
      </c>
      <c r="Q1" s="81" t="s">
        <v>1</v>
      </c>
      <c r="R1" s="81" t="s">
        <v>194</v>
      </c>
      <c r="S1" s="81" t="s">
        <v>188</v>
      </c>
      <c r="T1" s="81" t="s">
        <v>8</v>
      </c>
      <c r="U1" s="81" t="s">
        <v>330</v>
      </c>
    </row>
    <row r="2" spans="1:21" ht="15" customHeight="1" x14ac:dyDescent="0.4">
      <c r="A2" s="71">
        <v>0</v>
      </c>
      <c r="B2" s="72" t="s">
        <v>11</v>
      </c>
      <c r="C2" s="67" t="s">
        <v>3</v>
      </c>
      <c r="D2" s="66" t="s">
        <v>138</v>
      </c>
      <c r="E2" s="66" t="s">
        <v>138</v>
      </c>
      <c r="F2" s="67"/>
      <c r="G2" s="66">
        <v>2012</v>
      </c>
      <c r="H2" s="66" t="s">
        <v>337</v>
      </c>
      <c r="I2" s="76">
        <f>431*2</f>
        <v>862</v>
      </c>
      <c r="J2" s="77" t="s">
        <v>5</v>
      </c>
      <c r="K2" s="77" t="s">
        <v>6</v>
      </c>
      <c r="L2" s="77" t="s">
        <v>205</v>
      </c>
      <c r="M2" s="185" t="s">
        <v>327</v>
      </c>
      <c r="N2" s="185">
        <v>100</v>
      </c>
      <c r="O2" s="185">
        <v>0</v>
      </c>
      <c r="P2" s="79" t="s">
        <v>180</v>
      </c>
      <c r="Q2" s="79"/>
      <c r="R2" s="202">
        <v>1.464709</v>
      </c>
      <c r="S2" s="202">
        <v>103.79735700000001</v>
      </c>
      <c r="T2" s="67" t="s">
        <v>164</v>
      </c>
      <c r="U2" s="193"/>
    </row>
    <row r="3" spans="1:21" ht="15" customHeight="1" x14ac:dyDescent="0.4">
      <c r="A3" s="71">
        <f t="shared" ref="A3:A27" si="0">A2+1</f>
        <v>1</v>
      </c>
      <c r="B3" s="72" t="s">
        <v>11</v>
      </c>
      <c r="C3" s="67" t="s">
        <v>3</v>
      </c>
      <c r="D3" s="66" t="s">
        <v>138</v>
      </c>
      <c r="E3" s="66" t="s">
        <v>138</v>
      </c>
      <c r="F3" s="67"/>
      <c r="G3" s="66">
        <v>2004</v>
      </c>
      <c r="H3" s="66" t="s">
        <v>337</v>
      </c>
      <c r="I3" s="76">
        <f>365*2</f>
        <v>730</v>
      </c>
      <c r="J3" s="77" t="s">
        <v>5</v>
      </c>
      <c r="K3" s="77" t="s">
        <v>6</v>
      </c>
      <c r="L3" s="77" t="s">
        <v>206</v>
      </c>
      <c r="M3" s="185" t="s">
        <v>327</v>
      </c>
      <c r="N3" s="185">
        <v>100</v>
      </c>
      <c r="O3" s="185">
        <v>0</v>
      </c>
      <c r="P3" s="79" t="s">
        <v>179</v>
      </c>
      <c r="Q3" s="79"/>
      <c r="R3" s="202">
        <v>1.464709</v>
      </c>
      <c r="S3" s="202">
        <v>103.79735700000001</v>
      </c>
      <c r="T3" s="67"/>
      <c r="U3" s="193"/>
    </row>
    <row r="4" spans="1:21" ht="15" customHeight="1" x14ac:dyDescent="0.4">
      <c r="A4" s="71">
        <f t="shared" si="0"/>
        <v>2</v>
      </c>
      <c r="B4" s="72" t="s">
        <v>11</v>
      </c>
      <c r="C4" s="67" t="s">
        <v>3</v>
      </c>
      <c r="D4" s="66" t="s">
        <v>138</v>
      </c>
      <c r="E4" s="66" t="s">
        <v>138</v>
      </c>
      <c r="F4" s="67"/>
      <c r="G4" s="66">
        <v>2002</v>
      </c>
      <c r="H4" s="66" t="s">
        <v>337</v>
      </c>
      <c r="I4" s="76">
        <f>365</f>
        <v>365</v>
      </c>
      <c r="J4" s="77" t="s">
        <v>5</v>
      </c>
      <c r="K4" s="77" t="s">
        <v>6</v>
      </c>
      <c r="L4" s="77" t="s">
        <v>206</v>
      </c>
      <c r="M4" s="185" t="s">
        <v>327</v>
      </c>
      <c r="N4" s="185">
        <v>100</v>
      </c>
      <c r="O4" s="185">
        <v>0</v>
      </c>
      <c r="P4" s="79" t="s">
        <v>178</v>
      </c>
      <c r="Q4" s="79"/>
      <c r="R4" s="202">
        <v>1.464709</v>
      </c>
      <c r="S4" s="202">
        <v>103.79735700000001</v>
      </c>
      <c r="T4" s="67"/>
      <c r="U4" s="193"/>
    </row>
    <row r="5" spans="1:21" ht="15" customHeight="1" x14ac:dyDescent="0.4">
      <c r="A5" s="71">
        <f t="shared" si="0"/>
        <v>3</v>
      </c>
      <c r="B5" s="72" t="s">
        <v>11</v>
      </c>
      <c r="C5" s="67" t="s">
        <v>3</v>
      </c>
      <c r="D5" s="66" t="s">
        <v>138</v>
      </c>
      <c r="E5" s="66" t="s">
        <v>138</v>
      </c>
      <c r="F5" s="67"/>
      <c r="G5" s="66">
        <v>1996</v>
      </c>
      <c r="H5" s="66" t="s">
        <v>337</v>
      </c>
      <c r="I5" s="76">
        <f>425*2</f>
        <v>850</v>
      </c>
      <c r="J5" s="77" t="s">
        <v>5</v>
      </c>
      <c r="K5" s="77" t="s">
        <v>6</v>
      </c>
      <c r="L5" s="77" t="s">
        <v>206</v>
      </c>
      <c r="M5" s="185" t="s">
        <v>327</v>
      </c>
      <c r="N5" s="185">
        <v>100</v>
      </c>
      <c r="O5" s="185">
        <v>0</v>
      </c>
      <c r="P5" s="79" t="s">
        <v>177</v>
      </c>
      <c r="Q5" s="79"/>
      <c r="R5" s="202">
        <v>1.464709</v>
      </c>
      <c r="S5" s="202">
        <v>103.79735700000001</v>
      </c>
      <c r="T5" s="67"/>
      <c r="U5" s="193"/>
    </row>
    <row r="6" spans="1:21" ht="15" customHeight="1" x14ac:dyDescent="0.4">
      <c r="A6" s="40">
        <f t="shared" si="0"/>
        <v>4</v>
      </c>
      <c r="B6" s="41" t="s">
        <v>11</v>
      </c>
      <c r="C6" s="42" t="s">
        <v>3</v>
      </c>
      <c r="D6" s="52" t="s">
        <v>138</v>
      </c>
      <c r="E6" s="52" t="s">
        <v>138</v>
      </c>
      <c r="F6" s="42"/>
      <c r="G6" s="52"/>
      <c r="H6" s="52" t="s">
        <v>337</v>
      </c>
      <c r="I6" s="58">
        <v>493</v>
      </c>
      <c r="J6" s="43" t="s">
        <v>7</v>
      </c>
      <c r="K6" s="43" t="s">
        <v>23</v>
      </c>
      <c r="L6" s="87" t="s">
        <v>209</v>
      </c>
      <c r="M6" s="186" t="s">
        <v>327</v>
      </c>
      <c r="N6" s="186">
        <v>100</v>
      </c>
      <c r="O6" s="186">
        <v>0</v>
      </c>
      <c r="P6" s="102" t="s">
        <v>230</v>
      </c>
      <c r="Q6" s="44"/>
      <c r="R6" s="203">
        <v>1.464709</v>
      </c>
      <c r="S6" s="203">
        <v>103.79735700000001</v>
      </c>
      <c r="T6" s="42" t="s">
        <v>30</v>
      </c>
      <c r="U6" s="194"/>
    </row>
    <row r="7" spans="1:21" ht="15" customHeight="1" x14ac:dyDescent="0.4">
      <c r="A7" s="1">
        <f t="shared" si="0"/>
        <v>5</v>
      </c>
      <c r="B7" t="s">
        <v>31</v>
      </c>
      <c r="C7" s="2" t="s">
        <v>28</v>
      </c>
      <c r="D7" s="53" t="s">
        <v>138</v>
      </c>
      <c r="E7" s="53" t="s">
        <v>138</v>
      </c>
      <c r="F7" s="2"/>
      <c r="G7" s="53">
        <v>2010</v>
      </c>
      <c r="H7" s="53" t="s">
        <v>337</v>
      </c>
      <c r="I7" s="19">
        <f>370*2</f>
        <v>740</v>
      </c>
      <c r="J7" s="1" t="s">
        <v>33</v>
      </c>
      <c r="K7" s="1" t="s">
        <v>6</v>
      </c>
      <c r="L7" s="1" t="s">
        <v>205</v>
      </c>
      <c r="M7" s="187" t="s">
        <v>328</v>
      </c>
      <c r="N7" s="187">
        <v>100</v>
      </c>
      <c r="O7" s="187"/>
      <c r="P7" s="103" t="s">
        <v>232</v>
      </c>
      <c r="R7" s="204">
        <v>1.28026</v>
      </c>
      <c r="S7" s="205">
        <v>103.725911</v>
      </c>
      <c r="T7" s="2" t="s">
        <v>167</v>
      </c>
      <c r="U7" s="195"/>
    </row>
    <row r="8" spans="1:21" ht="15" customHeight="1" x14ac:dyDescent="0.4">
      <c r="A8" s="70">
        <f t="shared" si="0"/>
        <v>6</v>
      </c>
      <c r="B8" s="39" t="s">
        <v>31</v>
      </c>
      <c r="C8" s="73" t="s">
        <v>28</v>
      </c>
      <c r="D8" s="74" t="s">
        <v>138</v>
      </c>
      <c r="E8" s="74" t="s">
        <v>138</v>
      </c>
      <c r="F8" s="73"/>
      <c r="G8" s="74">
        <v>2002</v>
      </c>
      <c r="H8" s="74" t="s">
        <v>337</v>
      </c>
      <c r="I8" s="75">
        <f>364+368</f>
        <v>732</v>
      </c>
      <c r="J8" s="70" t="s">
        <v>5</v>
      </c>
      <c r="K8" s="70" t="s">
        <v>6</v>
      </c>
      <c r="L8" s="70" t="s">
        <v>206</v>
      </c>
      <c r="M8" s="188" t="s">
        <v>327</v>
      </c>
      <c r="N8" s="188">
        <v>100</v>
      </c>
      <c r="O8" s="188">
        <v>0</v>
      </c>
      <c r="P8" s="104" t="s">
        <v>233</v>
      </c>
      <c r="Q8" s="78"/>
      <c r="R8" s="206">
        <v>1.28026</v>
      </c>
      <c r="S8" s="207">
        <v>103.725911</v>
      </c>
      <c r="T8" s="73" t="s">
        <v>61</v>
      </c>
      <c r="U8" s="196"/>
    </row>
    <row r="9" spans="1:21" ht="15" customHeight="1" x14ac:dyDescent="0.4">
      <c r="A9" s="1">
        <f t="shared" si="0"/>
        <v>7</v>
      </c>
      <c r="B9" t="s">
        <v>31</v>
      </c>
      <c r="C9" s="2" t="s">
        <v>28</v>
      </c>
      <c r="D9" s="53" t="s">
        <v>138</v>
      </c>
      <c r="E9" s="53" t="s">
        <v>138</v>
      </c>
      <c r="F9" s="2"/>
      <c r="G9" s="53"/>
      <c r="H9" s="53" t="s">
        <v>337</v>
      </c>
      <c r="I9" s="19">
        <f>250*3*1448/1500</f>
        <v>724</v>
      </c>
      <c r="J9" s="3" t="s">
        <v>7</v>
      </c>
      <c r="K9" s="1" t="s">
        <v>47</v>
      </c>
      <c r="L9" s="85" t="s">
        <v>209</v>
      </c>
      <c r="M9" s="187" t="s">
        <v>327</v>
      </c>
      <c r="N9" s="187">
        <v>100</v>
      </c>
      <c r="O9" s="187">
        <v>0</v>
      </c>
      <c r="P9" s="104" t="s">
        <v>234</v>
      </c>
      <c r="Q9" s="10" t="s">
        <v>38</v>
      </c>
      <c r="R9" s="204">
        <v>1.279318</v>
      </c>
      <c r="S9" s="205">
        <v>103.726877</v>
      </c>
      <c r="T9" s="2" t="s">
        <v>54</v>
      </c>
      <c r="U9" s="195"/>
    </row>
    <row r="10" spans="1:21" ht="15" customHeight="1" x14ac:dyDescent="0.4">
      <c r="A10" s="20">
        <f t="shared" si="0"/>
        <v>8</v>
      </c>
      <c r="B10" s="16" t="s">
        <v>31</v>
      </c>
      <c r="C10" s="17" t="s">
        <v>28</v>
      </c>
      <c r="D10" s="54" t="s">
        <v>138</v>
      </c>
      <c r="E10" s="54" t="s">
        <v>138</v>
      </c>
      <c r="F10" s="17"/>
      <c r="G10" s="54"/>
      <c r="H10" s="54" t="s">
        <v>337</v>
      </c>
      <c r="I10" s="59">
        <f>250*3*1448/1500</f>
        <v>724</v>
      </c>
      <c r="J10" s="20" t="s">
        <v>7</v>
      </c>
      <c r="K10" s="20" t="s">
        <v>60</v>
      </c>
      <c r="L10" s="86" t="s">
        <v>208</v>
      </c>
      <c r="M10" s="191" t="s">
        <v>327</v>
      </c>
      <c r="N10" s="191">
        <v>100</v>
      </c>
      <c r="O10" s="191">
        <v>0</v>
      </c>
      <c r="P10" s="105" t="s">
        <v>235</v>
      </c>
      <c r="Q10" s="18" t="s">
        <v>38</v>
      </c>
      <c r="R10" s="208">
        <v>1.2780830000000001</v>
      </c>
      <c r="S10" s="209">
        <v>103.72862000000001</v>
      </c>
      <c r="T10" s="16"/>
      <c r="U10" s="197"/>
    </row>
    <row r="11" spans="1:21" ht="15" customHeight="1" x14ac:dyDescent="0.4">
      <c r="A11" s="45">
        <f t="shared" si="0"/>
        <v>9</v>
      </c>
      <c r="B11" s="46" t="s">
        <v>32</v>
      </c>
      <c r="C11" s="47" t="s">
        <v>28</v>
      </c>
      <c r="D11" s="52" t="s">
        <v>138</v>
      </c>
      <c r="E11" s="52" t="s">
        <v>138</v>
      </c>
      <c r="F11" s="42"/>
      <c r="G11" s="52"/>
      <c r="H11" s="52" t="s">
        <v>337</v>
      </c>
      <c r="I11" s="49">
        <v>180</v>
      </c>
      <c r="J11" s="45" t="s">
        <v>29</v>
      </c>
      <c r="K11" s="45" t="s">
        <v>56</v>
      </c>
      <c r="L11" s="84" t="s">
        <v>210</v>
      </c>
      <c r="M11" s="186" t="s">
        <v>327</v>
      </c>
      <c r="N11" s="190">
        <v>100</v>
      </c>
      <c r="O11" s="186">
        <v>0</v>
      </c>
      <c r="P11" s="102" t="s">
        <v>237</v>
      </c>
      <c r="Q11" s="48" t="s">
        <v>55</v>
      </c>
      <c r="R11" s="210">
        <v>1.311329</v>
      </c>
      <c r="S11" s="210">
        <v>103.710815</v>
      </c>
      <c r="T11" s="47" t="s">
        <v>63</v>
      </c>
      <c r="U11" s="57"/>
    </row>
    <row r="12" spans="1:21" ht="15" customHeight="1" x14ac:dyDescent="0.4">
      <c r="A12" s="1">
        <f t="shared" si="0"/>
        <v>10</v>
      </c>
      <c r="B12" s="28" t="s">
        <v>69</v>
      </c>
      <c r="C12" s="2" t="s">
        <v>64</v>
      </c>
      <c r="D12" s="53" t="s">
        <v>138</v>
      </c>
      <c r="E12" s="53" t="s">
        <v>138</v>
      </c>
      <c r="F12" s="2"/>
      <c r="G12" s="53">
        <v>2014</v>
      </c>
      <c r="H12" s="53" t="s">
        <v>337</v>
      </c>
      <c r="I12" s="19">
        <v>405.9</v>
      </c>
      <c r="J12" s="1" t="s">
        <v>33</v>
      </c>
      <c r="K12" s="1" t="s">
        <v>6</v>
      </c>
      <c r="L12" s="1" t="s">
        <v>205</v>
      </c>
      <c r="M12" s="187" t="s">
        <v>328</v>
      </c>
      <c r="N12" s="187">
        <v>100</v>
      </c>
      <c r="O12" s="187"/>
      <c r="P12" s="10" t="s">
        <v>173</v>
      </c>
      <c r="R12" s="211">
        <v>1.2898829999999999</v>
      </c>
      <c r="S12" s="212">
        <v>103.640275</v>
      </c>
      <c r="T12" s="2" t="s">
        <v>186</v>
      </c>
      <c r="U12" s="195"/>
    </row>
    <row r="13" spans="1:21" ht="15" customHeight="1" x14ac:dyDescent="0.4">
      <c r="A13" s="70">
        <f t="shared" si="0"/>
        <v>11</v>
      </c>
      <c r="B13" s="28" t="s">
        <v>69</v>
      </c>
      <c r="C13" s="73" t="s">
        <v>64</v>
      </c>
      <c r="D13" s="74" t="s">
        <v>138</v>
      </c>
      <c r="E13" s="74" t="s">
        <v>138</v>
      </c>
      <c r="F13" s="73"/>
      <c r="G13" s="74">
        <v>2005</v>
      </c>
      <c r="H13" s="74" t="s">
        <v>337</v>
      </c>
      <c r="I13" s="75">
        <f>367.5*2</f>
        <v>735</v>
      </c>
      <c r="J13" s="70" t="s">
        <v>5</v>
      </c>
      <c r="K13" s="70" t="s">
        <v>6</v>
      </c>
      <c r="L13" s="70" t="s">
        <v>206</v>
      </c>
      <c r="M13" s="188" t="s">
        <v>327</v>
      </c>
      <c r="N13" s="188">
        <v>100</v>
      </c>
      <c r="O13" s="188">
        <v>0</v>
      </c>
      <c r="P13" s="78" t="s">
        <v>176</v>
      </c>
      <c r="Q13" s="78"/>
      <c r="R13" s="211">
        <v>1.2898829999999999</v>
      </c>
      <c r="S13" s="212">
        <v>103.640275</v>
      </c>
      <c r="T13" s="39"/>
      <c r="U13" s="198"/>
    </row>
    <row r="14" spans="1:21" ht="15" customHeight="1" x14ac:dyDescent="0.4">
      <c r="A14" s="70">
        <f t="shared" si="0"/>
        <v>12</v>
      </c>
      <c r="B14" s="28" t="s">
        <v>69</v>
      </c>
      <c r="C14" s="73" t="s">
        <v>64</v>
      </c>
      <c r="D14" s="74" t="s">
        <v>138</v>
      </c>
      <c r="E14" s="74" t="s">
        <v>138</v>
      </c>
      <c r="F14" s="73"/>
      <c r="G14" s="74">
        <v>2002</v>
      </c>
      <c r="H14" s="74" t="s">
        <v>337</v>
      </c>
      <c r="I14" s="75">
        <f>367.5*2</f>
        <v>735</v>
      </c>
      <c r="J14" s="70" t="s">
        <v>5</v>
      </c>
      <c r="K14" s="70" t="s">
        <v>6</v>
      </c>
      <c r="L14" s="70" t="s">
        <v>206</v>
      </c>
      <c r="M14" s="187" t="s">
        <v>327</v>
      </c>
      <c r="N14" s="187">
        <v>100</v>
      </c>
      <c r="O14" s="187">
        <v>0</v>
      </c>
      <c r="P14" s="78" t="s">
        <v>175</v>
      </c>
      <c r="Q14" s="78"/>
      <c r="R14" s="211">
        <v>1.2898829999999999</v>
      </c>
      <c r="S14" s="212">
        <v>103.640275</v>
      </c>
      <c r="T14" s="73" t="s">
        <v>174</v>
      </c>
      <c r="U14" s="196"/>
    </row>
    <row r="15" spans="1:21" ht="15" customHeight="1" x14ac:dyDescent="0.4">
      <c r="A15" s="20">
        <f t="shared" si="0"/>
        <v>13</v>
      </c>
      <c r="B15" s="30" t="s">
        <v>69</v>
      </c>
      <c r="C15" s="17" t="s">
        <v>64</v>
      </c>
      <c r="D15" s="54" t="s">
        <v>138</v>
      </c>
      <c r="E15" s="54" t="s">
        <v>138</v>
      </c>
      <c r="F15" s="17"/>
      <c r="G15" s="54"/>
      <c r="H15" s="54" t="s">
        <v>337</v>
      </c>
      <c r="I15" s="59">
        <v>600</v>
      </c>
      <c r="J15" s="20" t="s">
        <v>7</v>
      </c>
      <c r="K15" s="20" t="s">
        <v>75</v>
      </c>
      <c r="L15" s="85" t="s">
        <v>209</v>
      </c>
      <c r="M15" s="191" t="s">
        <v>327</v>
      </c>
      <c r="N15" s="191">
        <v>100</v>
      </c>
      <c r="O15" s="191">
        <v>0</v>
      </c>
      <c r="P15" s="103" t="s">
        <v>236</v>
      </c>
      <c r="Q15" s="18" t="s">
        <v>77</v>
      </c>
      <c r="R15" s="213">
        <v>1.2898829999999999</v>
      </c>
      <c r="S15" s="214">
        <v>103.640275</v>
      </c>
      <c r="T15" s="16"/>
      <c r="U15" s="197"/>
    </row>
    <row r="16" spans="1:21" ht="15" customHeight="1" x14ac:dyDescent="0.4">
      <c r="A16" s="45">
        <f t="shared" si="0"/>
        <v>14</v>
      </c>
      <c r="B16" s="46" t="s">
        <v>36</v>
      </c>
      <c r="C16" s="47" t="s">
        <v>37</v>
      </c>
      <c r="D16" s="52" t="s">
        <v>138</v>
      </c>
      <c r="E16" s="52" t="s">
        <v>138</v>
      </c>
      <c r="F16" s="42"/>
      <c r="G16" s="52">
        <v>2014</v>
      </c>
      <c r="H16" s="52" t="s">
        <v>337</v>
      </c>
      <c r="I16" s="49">
        <v>403.8</v>
      </c>
      <c r="J16" s="45" t="s">
        <v>33</v>
      </c>
      <c r="K16" s="45" t="s">
        <v>6</v>
      </c>
      <c r="L16" s="45" t="s">
        <v>205</v>
      </c>
      <c r="M16" s="186" t="s">
        <v>328</v>
      </c>
      <c r="N16" s="190">
        <v>100</v>
      </c>
      <c r="O16" s="186"/>
      <c r="P16" s="50" t="s">
        <v>171</v>
      </c>
      <c r="Q16" s="50"/>
      <c r="R16" s="215">
        <v>1.258699</v>
      </c>
      <c r="S16" s="210">
        <v>103.670286</v>
      </c>
      <c r="T16" s="46"/>
      <c r="U16" s="199"/>
    </row>
    <row r="17" spans="1:21" ht="15" customHeight="1" x14ac:dyDescent="0.4">
      <c r="A17" s="23">
        <f t="shared" si="0"/>
        <v>15</v>
      </c>
      <c r="B17" s="21" t="s">
        <v>78</v>
      </c>
      <c r="C17" s="22" t="s">
        <v>37</v>
      </c>
      <c r="D17" s="54" t="s">
        <v>138</v>
      </c>
      <c r="E17" s="54" t="s">
        <v>138</v>
      </c>
      <c r="F17" s="17"/>
      <c r="G17" s="54">
        <v>2001</v>
      </c>
      <c r="H17" s="54" t="s">
        <v>337</v>
      </c>
      <c r="I17" s="33">
        <f>392.5*2</f>
        <v>785</v>
      </c>
      <c r="J17" s="23" t="s">
        <v>33</v>
      </c>
      <c r="K17" s="23" t="s">
        <v>6</v>
      </c>
      <c r="L17" s="70" t="s">
        <v>206</v>
      </c>
      <c r="M17" s="187" t="s">
        <v>328</v>
      </c>
      <c r="N17" s="187">
        <v>100</v>
      </c>
      <c r="O17" s="187"/>
      <c r="P17" s="31" t="s">
        <v>170</v>
      </c>
      <c r="Q17" s="31"/>
      <c r="R17" s="216">
        <v>1.255752</v>
      </c>
      <c r="S17" s="217">
        <v>103.70228400000001</v>
      </c>
      <c r="T17" s="22" t="s">
        <v>189</v>
      </c>
      <c r="U17" s="80"/>
    </row>
    <row r="18" spans="1:21" s="39" customFormat="1" ht="15" customHeight="1" x14ac:dyDescent="0.4">
      <c r="A18" s="63">
        <f t="shared" si="0"/>
        <v>16</v>
      </c>
      <c r="B18" s="64" t="s">
        <v>93</v>
      </c>
      <c r="C18" s="65" t="s">
        <v>94</v>
      </c>
      <c r="D18" s="66" t="s">
        <v>138</v>
      </c>
      <c r="E18" s="66" t="s">
        <v>138</v>
      </c>
      <c r="F18" s="67"/>
      <c r="G18" s="66">
        <v>2013</v>
      </c>
      <c r="H18" s="66" t="s">
        <v>337</v>
      </c>
      <c r="I18" s="68">
        <f>420*2</f>
        <v>840</v>
      </c>
      <c r="J18" s="63" t="s">
        <v>33</v>
      </c>
      <c r="K18" s="63" t="s">
        <v>6</v>
      </c>
      <c r="L18" s="63" t="s">
        <v>205</v>
      </c>
      <c r="M18" s="189" t="s">
        <v>328</v>
      </c>
      <c r="N18" s="189">
        <v>100</v>
      </c>
      <c r="O18" s="189"/>
      <c r="P18" s="106" t="s">
        <v>238</v>
      </c>
      <c r="Q18" s="69"/>
      <c r="R18" s="218">
        <v>1.2824450000000001</v>
      </c>
      <c r="S18" s="218">
        <v>103.67521499999999</v>
      </c>
      <c r="T18" s="64"/>
      <c r="U18" s="200"/>
    </row>
    <row r="19" spans="1:21" s="39" customFormat="1" ht="15" customHeight="1" x14ac:dyDescent="0.4">
      <c r="A19" s="40">
        <f t="shared" si="0"/>
        <v>17</v>
      </c>
      <c r="B19" s="41" t="s">
        <v>93</v>
      </c>
      <c r="C19" s="42" t="s">
        <v>94</v>
      </c>
      <c r="D19" s="52" t="s">
        <v>138</v>
      </c>
      <c r="E19" s="52" t="s">
        <v>138</v>
      </c>
      <c r="F19" s="42"/>
      <c r="G19" s="52">
        <v>2007</v>
      </c>
      <c r="H19" s="52" t="s">
        <v>337</v>
      </c>
      <c r="I19" s="62">
        <f>1310-I18</f>
        <v>470</v>
      </c>
      <c r="J19" s="40" t="s">
        <v>33</v>
      </c>
      <c r="K19" s="40" t="s">
        <v>6</v>
      </c>
      <c r="L19" s="40" t="s">
        <v>206</v>
      </c>
      <c r="M19" s="186" t="s">
        <v>328</v>
      </c>
      <c r="N19" s="186">
        <v>100</v>
      </c>
      <c r="O19" s="186"/>
      <c r="P19" s="102" t="s">
        <v>239</v>
      </c>
      <c r="Q19" s="44"/>
      <c r="R19" s="219">
        <f>R18</f>
        <v>1.2824450000000001</v>
      </c>
      <c r="S19" s="219">
        <f>S18</f>
        <v>103.67521499999999</v>
      </c>
      <c r="T19" s="42" t="s">
        <v>183</v>
      </c>
      <c r="U19" s="194"/>
    </row>
    <row r="20" spans="1:21" ht="15" customHeight="1" x14ac:dyDescent="0.4">
      <c r="A20" s="20">
        <f t="shared" si="0"/>
        <v>18</v>
      </c>
      <c r="B20" s="30" t="s">
        <v>104</v>
      </c>
      <c r="C20" s="17" t="s">
        <v>98</v>
      </c>
      <c r="D20" s="54" t="s">
        <v>138</v>
      </c>
      <c r="E20" s="54" t="s">
        <v>138</v>
      </c>
      <c r="F20" s="54" t="s">
        <v>138</v>
      </c>
      <c r="G20" s="54">
        <v>2014</v>
      </c>
      <c r="H20" s="54" t="s">
        <v>337</v>
      </c>
      <c r="I20" s="59">
        <v>800</v>
      </c>
      <c r="J20" s="20" t="s">
        <v>5</v>
      </c>
      <c r="K20" s="20" t="s">
        <v>6</v>
      </c>
      <c r="L20" s="20" t="s">
        <v>205</v>
      </c>
      <c r="M20" s="191" t="s">
        <v>327</v>
      </c>
      <c r="N20" s="191">
        <v>100</v>
      </c>
      <c r="O20" s="191">
        <v>0</v>
      </c>
      <c r="P20" s="18" t="s">
        <v>181</v>
      </c>
      <c r="Q20" s="18"/>
      <c r="R20" s="213">
        <v>1.282359</v>
      </c>
      <c r="S20" s="214">
        <v>103.721739</v>
      </c>
      <c r="T20" s="38" t="s">
        <v>169</v>
      </c>
      <c r="U20" s="201"/>
    </row>
    <row r="21" spans="1:21" ht="15" customHeight="1" x14ac:dyDescent="0.4">
      <c r="A21" s="45">
        <f t="shared" si="0"/>
        <v>19</v>
      </c>
      <c r="B21" s="46" t="s">
        <v>112</v>
      </c>
      <c r="C21" s="47" t="s">
        <v>113</v>
      </c>
      <c r="D21" s="52" t="s">
        <v>138</v>
      </c>
      <c r="E21" s="56" t="s">
        <v>139</v>
      </c>
      <c r="F21" s="52" t="s">
        <v>139</v>
      </c>
      <c r="G21" s="52">
        <v>2016</v>
      </c>
      <c r="H21" s="52" t="s">
        <v>337</v>
      </c>
      <c r="I21" s="49">
        <v>395.7</v>
      </c>
      <c r="J21" s="45" t="s">
        <v>5</v>
      </c>
      <c r="K21" s="45" t="s">
        <v>6</v>
      </c>
      <c r="L21" s="45" t="s">
        <v>205</v>
      </c>
      <c r="M21" s="190" t="s">
        <v>327</v>
      </c>
      <c r="N21" s="190">
        <v>100</v>
      </c>
      <c r="O21" s="190">
        <v>0</v>
      </c>
      <c r="P21" s="107" t="s">
        <v>240</v>
      </c>
      <c r="Q21" s="50"/>
      <c r="R21" s="215">
        <v>1.3030949999999999</v>
      </c>
      <c r="S21" s="210">
        <v>103.62345000000001</v>
      </c>
      <c r="T21" s="47" t="s">
        <v>246</v>
      </c>
      <c r="U21" s="57"/>
    </row>
    <row r="22" spans="1:21" x14ac:dyDescent="0.4">
      <c r="A22" s="23">
        <f t="shared" si="0"/>
        <v>20</v>
      </c>
      <c r="B22" s="37" t="s">
        <v>115</v>
      </c>
      <c r="C22" s="51" t="s">
        <v>114</v>
      </c>
      <c r="D22" s="54" t="s">
        <v>138</v>
      </c>
      <c r="E22" s="54" t="s">
        <v>139</v>
      </c>
      <c r="F22" s="61"/>
      <c r="G22" s="60">
        <v>2000</v>
      </c>
      <c r="H22" s="60" t="s">
        <v>337</v>
      </c>
      <c r="I22" s="33">
        <v>131</v>
      </c>
      <c r="J22" s="23" t="s">
        <v>123</v>
      </c>
      <c r="K22" s="23" t="s">
        <v>116</v>
      </c>
      <c r="L22" s="23"/>
      <c r="M22" s="192" t="s">
        <v>329</v>
      </c>
      <c r="N22" s="192">
        <v>150</v>
      </c>
      <c r="O22" s="192">
        <v>10</v>
      </c>
      <c r="P22" s="108" t="s">
        <v>241</v>
      </c>
      <c r="Q22" s="31"/>
      <c r="R22" s="220">
        <v>1.2954140000000001</v>
      </c>
      <c r="S22" s="217">
        <v>103.62129899999999</v>
      </c>
      <c r="T22" s="22" t="s">
        <v>216</v>
      </c>
      <c r="U22" s="80" t="s">
        <v>331</v>
      </c>
    </row>
    <row r="23" spans="1:21" x14ac:dyDescent="0.4">
      <c r="A23" s="45">
        <f t="shared" si="0"/>
        <v>21</v>
      </c>
      <c r="B23" s="46" t="s">
        <v>120</v>
      </c>
      <c r="C23" s="47" t="s">
        <v>114</v>
      </c>
      <c r="D23" s="52" t="s">
        <v>138</v>
      </c>
      <c r="E23" s="56" t="s">
        <v>139</v>
      </c>
      <c r="F23" s="42"/>
      <c r="G23" s="52">
        <v>1986</v>
      </c>
      <c r="H23" s="52" t="s">
        <v>337</v>
      </c>
      <c r="I23" s="175">
        <v>49.8</v>
      </c>
      <c r="J23" s="45" t="s">
        <v>123</v>
      </c>
      <c r="K23" s="45" t="s">
        <v>116</v>
      </c>
      <c r="L23" s="45"/>
      <c r="M23" s="190" t="s">
        <v>329</v>
      </c>
      <c r="N23" s="190">
        <v>150</v>
      </c>
      <c r="O23" s="190">
        <v>10</v>
      </c>
      <c r="P23" s="107" t="s">
        <v>242</v>
      </c>
      <c r="Q23" s="50"/>
      <c r="R23" s="210">
        <v>1.3256209999999999</v>
      </c>
      <c r="S23" s="210">
        <v>103.634928</v>
      </c>
      <c r="T23" s="47" t="s">
        <v>333</v>
      </c>
      <c r="U23" s="57" t="s">
        <v>331</v>
      </c>
    </row>
    <row r="24" spans="1:21" x14ac:dyDescent="0.4">
      <c r="A24" s="23">
        <f t="shared" si="0"/>
        <v>22</v>
      </c>
      <c r="B24" s="24" t="s">
        <v>128</v>
      </c>
      <c r="C24" s="22" t="s">
        <v>132</v>
      </c>
      <c r="D24" s="54" t="s">
        <v>138</v>
      </c>
      <c r="E24" s="54" t="s">
        <v>139</v>
      </c>
      <c r="F24" s="17"/>
      <c r="G24" s="54">
        <v>1992</v>
      </c>
      <c r="H24" s="54" t="s">
        <v>337</v>
      </c>
      <c r="I24" s="33">
        <v>55</v>
      </c>
      <c r="J24" s="23" t="s">
        <v>123</v>
      </c>
      <c r="K24" s="23" t="s">
        <v>116</v>
      </c>
      <c r="L24" s="23"/>
      <c r="M24" s="192" t="s">
        <v>329</v>
      </c>
      <c r="N24" s="192">
        <v>150</v>
      </c>
      <c r="O24" s="192">
        <v>10</v>
      </c>
      <c r="P24" s="108" t="s">
        <v>231</v>
      </c>
      <c r="Q24" s="31"/>
      <c r="R24" s="220">
        <v>1.4622329999999999</v>
      </c>
      <c r="S24" s="220">
        <v>103.794726</v>
      </c>
      <c r="T24" s="22" t="s">
        <v>191</v>
      </c>
      <c r="U24" s="80"/>
    </row>
    <row r="25" spans="1:21" x14ac:dyDescent="0.4">
      <c r="A25" s="45">
        <f t="shared" si="0"/>
        <v>23</v>
      </c>
      <c r="B25" s="46" t="s">
        <v>130</v>
      </c>
      <c r="C25" s="47" t="s">
        <v>131</v>
      </c>
      <c r="D25" s="52" t="s">
        <v>138</v>
      </c>
      <c r="E25" s="56" t="s">
        <v>139</v>
      </c>
      <c r="F25" s="42"/>
      <c r="G25" s="52">
        <v>2009</v>
      </c>
      <c r="H25" s="52" t="s">
        <v>337</v>
      </c>
      <c r="I25" s="49">
        <v>22</v>
      </c>
      <c r="J25" s="45" t="s">
        <v>123</v>
      </c>
      <c r="K25" s="45" t="s">
        <v>116</v>
      </c>
      <c r="L25" s="45"/>
      <c r="M25" s="190" t="s">
        <v>329</v>
      </c>
      <c r="N25" s="190">
        <v>100</v>
      </c>
      <c r="O25" s="190">
        <v>10</v>
      </c>
      <c r="P25" s="107" t="s">
        <v>243</v>
      </c>
      <c r="Q25" s="50"/>
      <c r="R25" s="210">
        <v>1.2973049999999999</v>
      </c>
      <c r="S25" s="210">
        <v>103.621899</v>
      </c>
      <c r="T25" s="47"/>
      <c r="U25" s="57" t="s">
        <v>332</v>
      </c>
    </row>
    <row r="26" spans="1:21" ht="15" customHeight="1" x14ac:dyDescent="0.4">
      <c r="A26" s="23">
        <f t="shared" si="0"/>
        <v>24</v>
      </c>
      <c r="B26" s="37" t="s">
        <v>140</v>
      </c>
      <c r="C26" s="22" t="s">
        <v>74</v>
      </c>
      <c r="D26" s="55" t="s">
        <v>139</v>
      </c>
      <c r="E26" s="54" t="s">
        <v>139</v>
      </c>
      <c r="F26" s="22"/>
      <c r="G26" s="55">
        <v>2013</v>
      </c>
      <c r="H26" s="55" t="s">
        <v>337</v>
      </c>
      <c r="I26" s="33">
        <v>160</v>
      </c>
      <c r="J26" s="23" t="s">
        <v>213</v>
      </c>
      <c r="K26" s="23" t="s">
        <v>144</v>
      </c>
      <c r="L26" s="83" t="s">
        <v>207</v>
      </c>
      <c r="M26" s="191" t="s">
        <v>327</v>
      </c>
      <c r="N26" s="191">
        <v>100</v>
      </c>
      <c r="O26" s="191">
        <v>0</v>
      </c>
      <c r="P26" s="108" t="s">
        <v>244</v>
      </c>
      <c r="Q26" s="31"/>
      <c r="R26" s="220">
        <v>1.265746</v>
      </c>
      <c r="S26" s="220">
        <v>103.67648699999999</v>
      </c>
      <c r="T26" s="80" t="s">
        <v>215</v>
      </c>
      <c r="U26" s="80"/>
    </row>
    <row r="27" spans="1:21" ht="15" customHeight="1" x14ac:dyDescent="0.4">
      <c r="A27" s="45">
        <f t="shared" si="0"/>
        <v>25</v>
      </c>
      <c r="B27" s="46" t="s">
        <v>158</v>
      </c>
      <c r="C27" s="47" t="s">
        <v>159</v>
      </c>
      <c r="D27" s="56" t="s">
        <v>139</v>
      </c>
      <c r="E27" s="56" t="s">
        <v>139</v>
      </c>
      <c r="F27" s="47"/>
      <c r="G27" s="56">
        <v>2012</v>
      </c>
      <c r="H27" s="56" t="s">
        <v>337</v>
      </c>
      <c r="I27" s="49">
        <v>332</v>
      </c>
      <c r="J27" s="45" t="s">
        <v>33</v>
      </c>
      <c r="K27" s="45" t="s">
        <v>6</v>
      </c>
      <c r="L27" s="45" t="s">
        <v>205</v>
      </c>
      <c r="M27" s="186" t="s">
        <v>328</v>
      </c>
      <c r="N27" s="186">
        <v>100</v>
      </c>
      <c r="O27" s="186"/>
      <c r="P27" s="107" t="s">
        <v>245</v>
      </c>
      <c r="Q27" s="50"/>
      <c r="R27" s="210">
        <v>1.279936</v>
      </c>
      <c r="S27" s="210">
        <v>103.701576</v>
      </c>
      <c r="T27" s="57" t="s">
        <v>187</v>
      </c>
      <c r="U27" s="57"/>
    </row>
  </sheetData>
  <autoFilter ref="A1:T27"/>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2"/>
  <sheetViews>
    <sheetView workbookViewId="0">
      <selection activeCell="G14" sqref="G14"/>
    </sheetView>
  </sheetViews>
  <sheetFormatPr defaultRowHeight="14.6" x14ac:dyDescent="0.4"/>
  <cols>
    <col min="1" max="1" width="7.3046875" customWidth="1"/>
    <col min="2" max="2" width="31.15234375" customWidth="1"/>
    <col min="3" max="3" width="14.3046875" style="10" customWidth="1"/>
    <col min="4" max="4" width="17" style="1" customWidth="1"/>
    <col min="5" max="7" width="16.69140625" style="1" customWidth="1"/>
    <col min="8" max="9" width="18.69140625" style="1" customWidth="1"/>
    <col min="10" max="11" width="16.69140625" style="1" customWidth="1"/>
    <col min="12" max="13" width="16.69140625" customWidth="1"/>
  </cols>
  <sheetData>
    <row r="1" spans="1:15" s="96" customFormat="1" ht="36" customHeight="1" x14ac:dyDescent="0.4">
      <c r="A1" s="93" t="s">
        <v>79</v>
      </c>
      <c r="B1" s="93" t="s">
        <v>80</v>
      </c>
      <c r="C1" s="81" t="s">
        <v>229</v>
      </c>
      <c r="D1" s="93" t="s">
        <v>195</v>
      </c>
      <c r="E1" s="93" t="s">
        <v>0</v>
      </c>
      <c r="F1" s="93" t="s">
        <v>203</v>
      </c>
      <c r="G1" s="94" t="s">
        <v>192</v>
      </c>
      <c r="H1" s="94" t="s">
        <v>221</v>
      </c>
      <c r="I1" s="94" t="s">
        <v>204</v>
      </c>
      <c r="J1" s="94" t="s">
        <v>222</v>
      </c>
      <c r="K1" s="95" t="s">
        <v>202</v>
      </c>
      <c r="L1" s="97" t="s">
        <v>224</v>
      </c>
      <c r="M1" s="97" t="s">
        <v>223</v>
      </c>
      <c r="N1" s="168" t="s">
        <v>288</v>
      </c>
      <c r="O1" s="168" t="s">
        <v>289</v>
      </c>
    </row>
    <row r="2" spans="1:15" x14ac:dyDescent="0.4">
      <c r="A2" s="71">
        <v>0</v>
      </c>
      <c r="B2" s="72" t="s">
        <v>11</v>
      </c>
      <c r="C2" s="79" t="s">
        <v>180</v>
      </c>
      <c r="D2" s="76">
        <f>431*2</f>
        <v>862</v>
      </c>
      <c r="E2" s="77" t="s">
        <v>5</v>
      </c>
      <c r="F2" s="77" t="s">
        <v>205</v>
      </c>
      <c r="G2" s="156">
        <v>48.753910060000003</v>
      </c>
      <c r="H2" s="138" t="s">
        <v>220</v>
      </c>
      <c r="I2" s="77" t="s">
        <v>196</v>
      </c>
      <c r="J2" s="77"/>
      <c r="K2" s="159">
        <f>0.5*D2</f>
        <v>431</v>
      </c>
      <c r="L2" s="143">
        <v>10.441419310000001</v>
      </c>
      <c r="M2" s="143">
        <v>0.625162946</v>
      </c>
      <c r="N2" s="143">
        <v>4.3686846929999996</v>
      </c>
      <c r="O2" s="143">
        <v>0.87481337199999998</v>
      </c>
    </row>
    <row r="3" spans="1:15" x14ac:dyDescent="0.4">
      <c r="A3" s="71">
        <f t="shared" ref="A3:A27" si="0">A2+1</f>
        <v>1</v>
      </c>
      <c r="B3" s="72" t="s">
        <v>11</v>
      </c>
      <c r="C3" s="79" t="s">
        <v>179</v>
      </c>
      <c r="D3" s="76">
        <f>365*2</f>
        <v>730</v>
      </c>
      <c r="E3" s="77" t="s">
        <v>5</v>
      </c>
      <c r="F3" s="77" t="s">
        <v>206</v>
      </c>
      <c r="G3" s="156">
        <v>62.270507719999998</v>
      </c>
      <c r="H3" s="138" t="s">
        <v>220</v>
      </c>
      <c r="I3" s="77" t="s">
        <v>197</v>
      </c>
      <c r="J3" s="77"/>
      <c r="K3" s="159">
        <f t="shared" ref="K3:K27" si="1">0.5*D3</f>
        <v>365</v>
      </c>
      <c r="L3" s="143">
        <v>22.538963389999999</v>
      </c>
      <c r="M3" s="143">
        <v>0.44771836500000001</v>
      </c>
      <c r="N3" s="143">
        <v>1.8657357299999999</v>
      </c>
      <c r="O3" s="143">
        <v>0.80647190499999999</v>
      </c>
    </row>
    <row r="4" spans="1:15" x14ac:dyDescent="0.4">
      <c r="A4" s="71">
        <f t="shared" si="0"/>
        <v>2</v>
      </c>
      <c r="B4" s="72" t="s">
        <v>11</v>
      </c>
      <c r="C4" s="79" t="s">
        <v>178</v>
      </c>
      <c r="D4" s="76">
        <f>365</f>
        <v>365</v>
      </c>
      <c r="E4" s="77" t="s">
        <v>5</v>
      </c>
      <c r="F4" s="77" t="s">
        <v>206</v>
      </c>
      <c r="G4" s="156">
        <v>58.445758679999997</v>
      </c>
      <c r="H4" s="138" t="s">
        <v>220</v>
      </c>
      <c r="I4" s="77" t="s">
        <v>197</v>
      </c>
      <c r="J4" s="77"/>
      <c r="K4" s="159">
        <f t="shared" si="1"/>
        <v>182.5</v>
      </c>
      <c r="L4" s="143">
        <v>4.6940971219999996</v>
      </c>
      <c r="M4" s="143">
        <v>1.572086066</v>
      </c>
      <c r="N4" s="143">
        <v>9.5360899670000006</v>
      </c>
      <c r="O4" s="143">
        <v>0.85847486900000003</v>
      </c>
    </row>
    <row r="5" spans="1:15" x14ac:dyDescent="0.4">
      <c r="A5" s="71">
        <f t="shared" si="0"/>
        <v>3</v>
      </c>
      <c r="B5" s="72" t="s">
        <v>11</v>
      </c>
      <c r="C5" s="79" t="s">
        <v>177</v>
      </c>
      <c r="D5" s="76">
        <f>425*2</f>
        <v>850</v>
      </c>
      <c r="E5" s="77" t="s">
        <v>5</v>
      </c>
      <c r="F5" s="77" t="s">
        <v>206</v>
      </c>
      <c r="G5" s="156">
        <v>60.39513779</v>
      </c>
      <c r="H5" s="138" t="s">
        <v>220</v>
      </c>
      <c r="I5" s="98" t="s">
        <v>197</v>
      </c>
      <c r="J5" s="77"/>
      <c r="K5" s="159">
        <f t="shared" si="1"/>
        <v>425</v>
      </c>
      <c r="L5" s="143">
        <v>9.4419462529999993</v>
      </c>
      <c r="M5" s="143">
        <v>0.63877271899999999</v>
      </c>
      <c r="N5" s="143">
        <v>4.883696456</v>
      </c>
      <c r="O5" s="143">
        <v>0.88433204399999998</v>
      </c>
    </row>
    <row r="6" spans="1:15" x14ac:dyDescent="0.4">
      <c r="A6" s="40">
        <f t="shared" si="0"/>
        <v>4</v>
      </c>
      <c r="B6" s="41" t="s">
        <v>11</v>
      </c>
      <c r="C6" s="102" t="s">
        <v>230</v>
      </c>
      <c r="D6" s="58">
        <v>493</v>
      </c>
      <c r="E6" s="43" t="s">
        <v>7</v>
      </c>
      <c r="F6" s="87" t="s">
        <v>209</v>
      </c>
      <c r="G6" s="155">
        <v>37.069975380000002</v>
      </c>
      <c r="H6" s="139" t="s">
        <v>220</v>
      </c>
      <c r="I6" s="99" t="s">
        <v>292</v>
      </c>
      <c r="J6" s="40"/>
      <c r="K6" s="160">
        <f t="shared" si="1"/>
        <v>246.5</v>
      </c>
      <c r="L6" s="144">
        <v>6.0891959340000001</v>
      </c>
      <c r="M6" s="144">
        <v>0.67544219400000005</v>
      </c>
      <c r="N6" s="144">
        <v>7.887733914</v>
      </c>
      <c r="O6" s="144">
        <v>0.92112246799999997</v>
      </c>
    </row>
    <row r="7" spans="1:15" x14ac:dyDescent="0.4">
      <c r="A7" s="1">
        <f t="shared" si="0"/>
        <v>5</v>
      </c>
      <c r="B7" t="s">
        <v>31</v>
      </c>
      <c r="C7" s="103" t="s">
        <v>232</v>
      </c>
      <c r="D7" s="19">
        <f>370*2</f>
        <v>740</v>
      </c>
      <c r="E7" s="1" t="s">
        <v>33</v>
      </c>
      <c r="F7" s="1" t="s">
        <v>205</v>
      </c>
      <c r="G7" s="151">
        <v>35.060210990000002</v>
      </c>
      <c r="H7" s="140" t="s">
        <v>220</v>
      </c>
      <c r="I7" s="169" t="s">
        <v>198</v>
      </c>
      <c r="J7" s="134">
        <v>83</v>
      </c>
      <c r="K7" s="161">
        <f>0.5*D7</f>
        <v>370</v>
      </c>
      <c r="L7" s="145">
        <v>14.068659780000001</v>
      </c>
      <c r="M7" s="145">
        <v>0.398523717</v>
      </c>
      <c r="N7" s="145">
        <v>3.3077893180000002</v>
      </c>
      <c r="O7" s="145">
        <v>0.89247434999999997</v>
      </c>
    </row>
    <row r="8" spans="1:15" x14ac:dyDescent="0.4">
      <c r="A8" s="70">
        <f t="shared" si="0"/>
        <v>6</v>
      </c>
      <c r="B8" s="39" t="s">
        <v>31</v>
      </c>
      <c r="C8" s="104" t="s">
        <v>233</v>
      </c>
      <c r="D8" s="75">
        <f>364+368</f>
        <v>732</v>
      </c>
      <c r="E8" s="70" t="s">
        <v>5</v>
      </c>
      <c r="F8" s="70" t="s">
        <v>206</v>
      </c>
      <c r="G8" s="157">
        <v>62.487911840000002</v>
      </c>
      <c r="H8" s="141" t="s">
        <v>220</v>
      </c>
      <c r="I8" s="170" t="s">
        <v>196</v>
      </c>
      <c r="J8" s="70"/>
      <c r="K8" s="162">
        <f t="shared" si="1"/>
        <v>366</v>
      </c>
      <c r="L8" s="146">
        <v>5.917300934</v>
      </c>
      <c r="M8" s="146">
        <v>0.38207745999999998</v>
      </c>
      <c r="N8" s="146">
        <v>8.4298551629999992</v>
      </c>
      <c r="O8" s="146">
        <v>0.95664090099999999</v>
      </c>
    </row>
    <row r="9" spans="1:15" x14ac:dyDescent="0.4">
      <c r="A9" s="1">
        <f t="shared" si="0"/>
        <v>7</v>
      </c>
      <c r="B9" t="s">
        <v>31</v>
      </c>
      <c r="C9" s="104" t="s">
        <v>234</v>
      </c>
      <c r="D9" s="19">
        <f>250*3*1448/1500</f>
        <v>724</v>
      </c>
      <c r="E9" s="3" t="s">
        <v>7</v>
      </c>
      <c r="F9" s="85" t="s">
        <v>209</v>
      </c>
      <c r="G9" s="151">
        <v>34.207181349999999</v>
      </c>
      <c r="H9" s="141" t="s">
        <v>220</v>
      </c>
      <c r="I9" s="169" t="s">
        <v>292</v>
      </c>
      <c r="J9" s="89"/>
      <c r="K9" s="162">
        <f t="shared" si="1"/>
        <v>362</v>
      </c>
      <c r="L9" s="146">
        <v>13.39718476</v>
      </c>
      <c r="M9" s="146">
        <v>0.64394360799999995</v>
      </c>
      <c r="N9" s="146">
        <v>3.2481320849999999</v>
      </c>
      <c r="O9" s="146">
        <v>0.83455008100000005</v>
      </c>
    </row>
    <row r="10" spans="1:15" x14ac:dyDescent="0.4">
      <c r="A10" s="20">
        <f t="shared" si="0"/>
        <v>8</v>
      </c>
      <c r="B10" s="16" t="s">
        <v>31</v>
      </c>
      <c r="C10" s="105" t="s">
        <v>235</v>
      </c>
      <c r="D10" s="59">
        <f>250*3*1448/1500</f>
        <v>724</v>
      </c>
      <c r="E10" s="20" t="s">
        <v>7</v>
      </c>
      <c r="F10" s="86" t="s">
        <v>208</v>
      </c>
      <c r="G10" s="158">
        <v>34.02103314</v>
      </c>
      <c r="H10" s="142" t="s">
        <v>220</v>
      </c>
      <c r="I10" s="171" t="s">
        <v>292</v>
      </c>
      <c r="J10" s="90"/>
      <c r="K10" s="163">
        <f t="shared" si="1"/>
        <v>362</v>
      </c>
      <c r="L10" s="147">
        <v>9.4139825459999997</v>
      </c>
      <c r="M10" s="147">
        <v>0.80996054299999998</v>
      </c>
      <c r="N10" s="147">
        <v>4.7289128180000004</v>
      </c>
      <c r="O10" s="147">
        <v>0.85376799699999995</v>
      </c>
    </row>
    <row r="11" spans="1:15" x14ac:dyDescent="0.4">
      <c r="A11" s="45">
        <f t="shared" si="0"/>
        <v>9</v>
      </c>
      <c r="B11" s="46" t="s">
        <v>32</v>
      </c>
      <c r="C11" s="102" t="s">
        <v>237</v>
      </c>
      <c r="D11" s="49">
        <v>180</v>
      </c>
      <c r="E11" s="45" t="s">
        <v>29</v>
      </c>
      <c r="F11" s="84" t="s">
        <v>210</v>
      </c>
      <c r="G11" s="152">
        <v>36.434511929999999</v>
      </c>
      <c r="H11" s="139" t="s">
        <v>220</v>
      </c>
      <c r="I11" s="172" t="s">
        <v>198</v>
      </c>
      <c r="J11" s="45"/>
      <c r="K11" s="164">
        <f>0.5*D11</f>
        <v>90</v>
      </c>
      <c r="L11" s="148">
        <v>10.526867449999999</v>
      </c>
      <c r="M11" s="148">
        <v>0.27753659800000002</v>
      </c>
      <c r="N11" s="148">
        <v>4.6757752410000002</v>
      </c>
      <c r="O11" s="148">
        <v>0.94396948800000002</v>
      </c>
    </row>
    <row r="12" spans="1:15" x14ac:dyDescent="0.4">
      <c r="A12" s="1">
        <f t="shared" si="0"/>
        <v>10</v>
      </c>
      <c r="B12" s="28" t="s">
        <v>69</v>
      </c>
      <c r="C12" s="10" t="s">
        <v>173</v>
      </c>
      <c r="D12" s="19">
        <v>405.9</v>
      </c>
      <c r="E12" s="1" t="s">
        <v>33</v>
      </c>
      <c r="F12" s="1" t="s">
        <v>205</v>
      </c>
      <c r="G12" s="151">
        <v>38.426804869999998</v>
      </c>
      <c r="H12" s="140" t="s">
        <v>220</v>
      </c>
      <c r="I12" s="169" t="s">
        <v>199</v>
      </c>
      <c r="J12" s="134">
        <v>83</v>
      </c>
      <c r="K12" s="161">
        <f t="shared" si="1"/>
        <v>202.95</v>
      </c>
      <c r="L12" s="145">
        <v>5.4681568199999999</v>
      </c>
      <c r="M12" s="145">
        <v>0.37631712099999998</v>
      </c>
      <c r="N12" s="145">
        <v>9.1594110709999992</v>
      </c>
      <c r="O12" s="145">
        <v>0.96053608999999995</v>
      </c>
    </row>
    <row r="13" spans="1:15" x14ac:dyDescent="0.4">
      <c r="A13" s="70">
        <f t="shared" si="0"/>
        <v>11</v>
      </c>
      <c r="B13" s="28" t="s">
        <v>69</v>
      </c>
      <c r="C13" s="78" t="s">
        <v>176</v>
      </c>
      <c r="D13" s="75">
        <f>367.5*2</f>
        <v>735</v>
      </c>
      <c r="E13" s="70" t="s">
        <v>5</v>
      </c>
      <c r="F13" s="70" t="s">
        <v>206</v>
      </c>
      <c r="G13" s="157">
        <v>61.824630720000002</v>
      </c>
      <c r="H13" s="141" t="s">
        <v>220</v>
      </c>
      <c r="I13" s="170" t="s">
        <v>198</v>
      </c>
      <c r="J13" s="70"/>
      <c r="K13" s="162">
        <f t="shared" si="1"/>
        <v>367.5</v>
      </c>
      <c r="L13" s="146">
        <v>8.6911053789999997</v>
      </c>
      <c r="M13" s="146">
        <v>0.56039549200000005</v>
      </c>
      <c r="N13" s="146">
        <v>5.439170141</v>
      </c>
      <c r="O13" s="146">
        <v>0.90659398899999999</v>
      </c>
    </row>
    <row r="14" spans="1:15" x14ac:dyDescent="0.4">
      <c r="A14" s="70">
        <f t="shared" si="0"/>
        <v>12</v>
      </c>
      <c r="B14" s="28" t="s">
        <v>69</v>
      </c>
      <c r="C14" s="78" t="s">
        <v>175</v>
      </c>
      <c r="D14" s="75">
        <f>367.5*2</f>
        <v>735</v>
      </c>
      <c r="E14" s="70" t="s">
        <v>5</v>
      </c>
      <c r="F14" s="70" t="s">
        <v>206</v>
      </c>
      <c r="G14" s="157">
        <v>61.173906479999999</v>
      </c>
      <c r="H14" s="141" t="s">
        <v>220</v>
      </c>
      <c r="I14" s="170" t="s">
        <v>198</v>
      </c>
      <c r="J14" s="70"/>
      <c r="K14" s="162">
        <f t="shared" si="1"/>
        <v>367.5</v>
      </c>
      <c r="L14" s="146">
        <v>2.9811667000000002</v>
      </c>
      <c r="M14" s="146">
        <v>3.487585588</v>
      </c>
      <c r="N14" s="146">
        <v>14.00316967</v>
      </c>
      <c r="O14" s="146">
        <v>0.80060405999999995</v>
      </c>
    </row>
    <row r="15" spans="1:15" x14ac:dyDescent="0.4">
      <c r="A15" s="20">
        <f t="shared" si="0"/>
        <v>13</v>
      </c>
      <c r="B15" s="30" t="s">
        <v>69</v>
      </c>
      <c r="C15" s="103" t="s">
        <v>236</v>
      </c>
      <c r="D15" s="59">
        <v>600</v>
      </c>
      <c r="E15" s="20" t="s">
        <v>7</v>
      </c>
      <c r="F15" s="85" t="s">
        <v>209</v>
      </c>
      <c r="G15" s="158">
        <v>35.396045370000003</v>
      </c>
      <c r="H15" s="142" t="s">
        <v>220</v>
      </c>
      <c r="I15" s="171" t="s">
        <v>292</v>
      </c>
      <c r="J15" s="90"/>
      <c r="K15" s="163">
        <f t="shared" si="1"/>
        <v>300</v>
      </c>
      <c r="L15" s="147">
        <v>21.0684708</v>
      </c>
      <c r="M15" s="147">
        <v>0.24908235000000001</v>
      </c>
      <c r="N15" s="147">
        <v>2.2258413240000001</v>
      </c>
      <c r="O15" s="147">
        <v>0.89935756300000003</v>
      </c>
    </row>
    <row r="16" spans="1:15" x14ac:dyDescent="0.4">
      <c r="A16" s="45">
        <f t="shared" si="0"/>
        <v>14</v>
      </c>
      <c r="B16" s="46" t="s">
        <v>36</v>
      </c>
      <c r="C16" s="50" t="s">
        <v>171</v>
      </c>
      <c r="D16" s="49">
        <v>403.8</v>
      </c>
      <c r="E16" s="45" t="s">
        <v>33</v>
      </c>
      <c r="F16" s="45" t="s">
        <v>205</v>
      </c>
      <c r="G16" s="152">
        <v>34.188655349999998</v>
      </c>
      <c r="H16" s="139" t="s">
        <v>220</v>
      </c>
      <c r="I16" s="172" t="s">
        <v>200</v>
      </c>
      <c r="J16" s="135">
        <v>83</v>
      </c>
      <c r="K16" s="164">
        <f>0.5*D16</f>
        <v>201.9</v>
      </c>
      <c r="L16" s="148">
        <v>4.9638615540000002</v>
      </c>
      <c r="M16" s="148">
        <v>1.073635745</v>
      </c>
      <c r="N16" s="148">
        <v>9.4308589059999992</v>
      </c>
      <c r="O16" s="148">
        <v>0.89779272799999998</v>
      </c>
    </row>
    <row r="17" spans="1:15" x14ac:dyDescent="0.4">
      <c r="A17" s="23">
        <f t="shared" si="0"/>
        <v>15</v>
      </c>
      <c r="B17" s="21" t="s">
        <v>78</v>
      </c>
      <c r="C17" s="31" t="s">
        <v>170</v>
      </c>
      <c r="D17" s="33">
        <f>392.5*2</f>
        <v>785</v>
      </c>
      <c r="E17" s="23" t="s">
        <v>33</v>
      </c>
      <c r="F17" s="70" t="s">
        <v>206</v>
      </c>
      <c r="G17" s="153">
        <v>39.786752069999999</v>
      </c>
      <c r="H17" s="142" t="s">
        <v>220</v>
      </c>
      <c r="I17" s="173" t="s">
        <v>198</v>
      </c>
      <c r="J17" s="134">
        <v>83</v>
      </c>
      <c r="K17" s="165">
        <f t="shared" si="1"/>
        <v>392.5</v>
      </c>
      <c r="L17" s="149">
        <v>22.626756319999998</v>
      </c>
      <c r="M17" s="149">
        <v>0.38912370200000002</v>
      </c>
      <c r="N17" s="149">
        <v>1.9153540769999999</v>
      </c>
      <c r="O17" s="149">
        <v>0.83114452000000005</v>
      </c>
    </row>
    <row r="18" spans="1:15" s="39" customFormat="1" x14ac:dyDescent="0.4">
      <c r="A18" s="63">
        <f t="shared" si="0"/>
        <v>16</v>
      </c>
      <c r="B18" s="64" t="s">
        <v>93</v>
      </c>
      <c r="C18" s="106" t="s">
        <v>238</v>
      </c>
      <c r="D18" s="68">
        <f>420*2</f>
        <v>840</v>
      </c>
      <c r="E18" s="63" t="s">
        <v>33</v>
      </c>
      <c r="F18" s="63" t="s">
        <v>205</v>
      </c>
      <c r="G18" s="154">
        <v>39.22088875</v>
      </c>
      <c r="H18" s="138" t="s">
        <v>220</v>
      </c>
      <c r="I18" s="174" t="s">
        <v>196</v>
      </c>
      <c r="J18" s="136">
        <v>83</v>
      </c>
      <c r="K18" s="159">
        <f t="shared" si="1"/>
        <v>420</v>
      </c>
      <c r="L18" s="143">
        <v>7.0592201040000004</v>
      </c>
      <c r="M18" s="143">
        <v>1.076760438</v>
      </c>
      <c r="N18" s="143">
        <v>6.3097293409999997</v>
      </c>
      <c r="O18" s="143">
        <v>0.85422569199999998</v>
      </c>
    </row>
    <row r="19" spans="1:15" s="39" customFormat="1" x14ac:dyDescent="0.4">
      <c r="A19" s="40">
        <f t="shared" si="0"/>
        <v>17</v>
      </c>
      <c r="B19" s="41" t="s">
        <v>93</v>
      </c>
      <c r="C19" s="102" t="s">
        <v>239</v>
      </c>
      <c r="D19" s="62">
        <f>1310-D18</f>
        <v>470</v>
      </c>
      <c r="E19" s="40" t="s">
        <v>33</v>
      </c>
      <c r="F19" s="40" t="s">
        <v>206</v>
      </c>
      <c r="G19" s="155">
        <v>36.80607139</v>
      </c>
      <c r="H19" s="139" t="s">
        <v>220</v>
      </c>
      <c r="I19" s="99" t="s">
        <v>199</v>
      </c>
      <c r="J19" s="137">
        <v>83</v>
      </c>
      <c r="K19" s="166">
        <f t="shared" si="1"/>
        <v>235</v>
      </c>
      <c r="L19" s="150">
        <v>14.82017705</v>
      </c>
      <c r="M19" s="150">
        <v>0.35185342200000003</v>
      </c>
      <c r="N19" s="150">
        <v>3.1665159580000002</v>
      </c>
      <c r="O19" s="150">
        <v>0.89999531499999996</v>
      </c>
    </row>
    <row r="20" spans="1:15" x14ac:dyDescent="0.4">
      <c r="A20" s="20">
        <f t="shared" si="0"/>
        <v>18</v>
      </c>
      <c r="B20" s="30" t="s">
        <v>104</v>
      </c>
      <c r="C20" s="18" t="s">
        <v>181</v>
      </c>
      <c r="D20" s="59">
        <v>800</v>
      </c>
      <c r="E20" s="20" t="s">
        <v>5</v>
      </c>
      <c r="F20" s="20" t="s">
        <v>205</v>
      </c>
      <c r="G20" s="158">
        <v>59.949008599999999</v>
      </c>
      <c r="H20" s="142" t="s">
        <v>220</v>
      </c>
      <c r="I20" s="171" t="s">
        <v>201</v>
      </c>
      <c r="J20" s="20"/>
      <c r="K20" s="163">
        <f>0.5*D20</f>
        <v>400</v>
      </c>
      <c r="L20" s="147">
        <v>22.959233749999999</v>
      </c>
      <c r="M20" s="147">
        <v>0.323643081</v>
      </c>
      <c r="N20" s="147">
        <v>1.947463076</v>
      </c>
      <c r="O20" s="147">
        <v>0.85749539699999999</v>
      </c>
    </row>
    <row r="21" spans="1:15" x14ac:dyDescent="0.4">
      <c r="A21" s="45">
        <f t="shared" si="0"/>
        <v>19</v>
      </c>
      <c r="B21" s="46" t="s">
        <v>112</v>
      </c>
      <c r="C21" s="107" t="s">
        <v>240</v>
      </c>
      <c r="D21" s="49">
        <v>395.7</v>
      </c>
      <c r="E21" s="45" t="s">
        <v>5</v>
      </c>
      <c r="F21" s="45" t="s">
        <v>205</v>
      </c>
      <c r="G21" s="152">
        <v>61.059277639999998</v>
      </c>
      <c r="H21" s="139" t="s">
        <v>220</v>
      </c>
      <c r="I21" s="172" t="s">
        <v>201</v>
      </c>
      <c r="J21" s="45"/>
      <c r="K21" s="164">
        <f t="shared" si="1"/>
        <v>197.85</v>
      </c>
      <c r="L21" s="148">
        <v>18.932099019999999</v>
      </c>
      <c r="M21" s="148">
        <v>0.191863911</v>
      </c>
      <c r="N21" s="148">
        <v>2.5623397880000001</v>
      </c>
      <c r="O21" s="148">
        <v>0.930337792</v>
      </c>
    </row>
    <row r="22" spans="1:15" x14ac:dyDescent="0.4">
      <c r="A22" s="23">
        <f t="shared" si="0"/>
        <v>20</v>
      </c>
      <c r="B22" s="37" t="s">
        <v>115</v>
      </c>
      <c r="C22" s="108" t="s">
        <v>241</v>
      </c>
      <c r="D22" s="33">
        <v>131</v>
      </c>
      <c r="E22" s="23" t="s">
        <v>123</v>
      </c>
      <c r="F22" s="23"/>
      <c r="G22" s="153">
        <v>21.79304402</v>
      </c>
      <c r="H22" s="142" t="s">
        <v>220</v>
      </c>
      <c r="I22" s="173" t="s">
        <v>292</v>
      </c>
      <c r="J22" s="92"/>
      <c r="K22" s="165">
        <f t="shared" si="1"/>
        <v>65.5</v>
      </c>
      <c r="L22" s="149">
        <v>15.98845334</v>
      </c>
      <c r="M22" s="149">
        <v>0.41835063099999997</v>
      </c>
      <c r="N22" s="149">
        <v>2.842931498</v>
      </c>
      <c r="O22" s="149">
        <v>0.87172203599999998</v>
      </c>
    </row>
    <row r="23" spans="1:15" x14ac:dyDescent="0.4">
      <c r="A23" s="45">
        <f t="shared" si="0"/>
        <v>21</v>
      </c>
      <c r="B23" s="46" t="s">
        <v>120</v>
      </c>
      <c r="C23" s="107" t="s">
        <v>242</v>
      </c>
      <c r="D23" s="175">
        <v>49.8</v>
      </c>
      <c r="E23" s="45" t="s">
        <v>123</v>
      </c>
      <c r="F23" s="45"/>
      <c r="G23" s="152">
        <v>18.11100776</v>
      </c>
      <c r="H23" s="139" t="s">
        <v>220</v>
      </c>
      <c r="I23" s="172" t="s">
        <v>292</v>
      </c>
      <c r="J23" s="91"/>
      <c r="K23" s="164">
        <f t="shared" si="1"/>
        <v>24.9</v>
      </c>
      <c r="L23" s="148">
        <v>12.973308899999999</v>
      </c>
      <c r="M23" s="148">
        <v>0.47432295200000002</v>
      </c>
      <c r="N23" s="148">
        <v>3.5449182110000002</v>
      </c>
      <c r="O23" s="148">
        <v>0.88198693900000003</v>
      </c>
    </row>
    <row r="24" spans="1:15" x14ac:dyDescent="0.4">
      <c r="A24" s="23">
        <f t="shared" si="0"/>
        <v>22</v>
      </c>
      <c r="B24" s="24" t="s">
        <v>128</v>
      </c>
      <c r="C24" s="108" t="s">
        <v>231</v>
      </c>
      <c r="D24" s="33">
        <v>55</v>
      </c>
      <c r="E24" s="23" t="s">
        <v>123</v>
      </c>
      <c r="F24" s="23"/>
      <c r="G24" s="153">
        <v>23.09130626</v>
      </c>
      <c r="H24" s="142" t="s">
        <v>220</v>
      </c>
      <c r="I24" s="173" t="s">
        <v>292</v>
      </c>
      <c r="J24" s="92"/>
      <c r="K24" s="165">
        <f t="shared" si="1"/>
        <v>27.5</v>
      </c>
      <c r="L24" s="149">
        <v>2.2790147200000002</v>
      </c>
      <c r="M24" s="149">
        <v>3.845921031</v>
      </c>
      <c r="N24" s="149">
        <v>19.033640340000002</v>
      </c>
      <c r="O24" s="149">
        <v>0.83190582300000004</v>
      </c>
    </row>
    <row r="25" spans="1:15" x14ac:dyDescent="0.4">
      <c r="A25" s="45">
        <f t="shared" si="0"/>
        <v>23</v>
      </c>
      <c r="B25" s="46" t="s">
        <v>130</v>
      </c>
      <c r="C25" s="107" t="s">
        <v>243</v>
      </c>
      <c r="D25" s="49">
        <v>22</v>
      </c>
      <c r="E25" s="45" t="s">
        <v>123</v>
      </c>
      <c r="F25" s="45"/>
      <c r="G25" s="152">
        <v>19.973466250000001</v>
      </c>
      <c r="H25" s="139" t="s">
        <v>220</v>
      </c>
      <c r="I25" s="172" t="s">
        <v>292</v>
      </c>
      <c r="J25" s="91"/>
      <c r="K25" s="164">
        <f>0.5*D25</f>
        <v>11</v>
      </c>
      <c r="L25" s="148">
        <v>13.1223051</v>
      </c>
      <c r="M25" s="148">
        <v>0.34341963800000003</v>
      </c>
      <c r="N25" s="148">
        <v>3.6301853629999998</v>
      </c>
      <c r="O25" s="148">
        <v>0.91357479200000002</v>
      </c>
    </row>
    <row r="26" spans="1:15" x14ac:dyDescent="0.4">
      <c r="A26" s="23">
        <f t="shared" si="0"/>
        <v>24</v>
      </c>
      <c r="B26" s="37" t="s">
        <v>140</v>
      </c>
      <c r="C26" s="108" t="s">
        <v>244</v>
      </c>
      <c r="D26" s="33">
        <v>160</v>
      </c>
      <c r="E26" s="23" t="s">
        <v>213</v>
      </c>
      <c r="F26" s="83" t="s">
        <v>207</v>
      </c>
      <c r="G26" s="153">
        <v>40</v>
      </c>
      <c r="H26" s="142" t="s">
        <v>220</v>
      </c>
      <c r="I26" s="173" t="s">
        <v>292</v>
      </c>
      <c r="J26" s="134">
        <v>80</v>
      </c>
      <c r="K26" s="165">
        <f t="shared" si="1"/>
        <v>80</v>
      </c>
      <c r="L26" s="149">
        <v>7.0738565820000003</v>
      </c>
      <c r="M26" s="149">
        <v>0.991626797</v>
      </c>
      <c r="N26" s="149">
        <v>6.3795796349999998</v>
      </c>
      <c r="O26" s="149">
        <v>0.865472931</v>
      </c>
    </row>
    <row r="27" spans="1:15" x14ac:dyDescent="0.4">
      <c r="A27" s="45">
        <f t="shared" si="0"/>
        <v>25</v>
      </c>
      <c r="B27" s="46" t="s">
        <v>158</v>
      </c>
      <c r="C27" s="107" t="s">
        <v>245</v>
      </c>
      <c r="D27" s="49">
        <v>332</v>
      </c>
      <c r="E27" s="45" t="s">
        <v>33</v>
      </c>
      <c r="F27" s="45" t="s">
        <v>205</v>
      </c>
      <c r="G27" s="152">
        <v>35.66375171</v>
      </c>
      <c r="H27" s="139" t="s">
        <v>220</v>
      </c>
      <c r="I27" s="45" t="s">
        <v>196</v>
      </c>
      <c r="J27" s="135">
        <v>83</v>
      </c>
      <c r="K27" s="164">
        <f t="shared" si="1"/>
        <v>166</v>
      </c>
      <c r="L27" s="148">
        <v>12.966638590000001</v>
      </c>
      <c r="M27" s="148">
        <v>0.79479335799999995</v>
      </c>
      <c r="N27" s="148">
        <v>3.2265153870000001</v>
      </c>
      <c r="O27" s="148">
        <v>0.80235455499999997</v>
      </c>
    </row>
    <row r="32" spans="1:15" x14ac:dyDescent="0.4">
      <c r="D32" s="19"/>
    </row>
  </sheetData>
  <autoFilter ref="A1:M27"/>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7"/>
  <sheetViews>
    <sheetView zoomScaleNormal="100" workbookViewId="0">
      <selection activeCell="C27" sqref="C27"/>
    </sheetView>
  </sheetViews>
  <sheetFormatPr defaultRowHeight="14.6" x14ac:dyDescent="0.4"/>
  <cols>
    <col min="1" max="1" width="7.3046875" customWidth="1"/>
    <col min="2" max="2" width="40.84375" bestFit="1" customWidth="1"/>
    <col min="3" max="3" width="14.3046875" style="10" customWidth="1"/>
    <col min="4" max="7" width="14.69140625" customWidth="1"/>
  </cols>
  <sheetData>
    <row r="1" spans="1:7" s="82" customFormat="1" ht="25.75" x14ac:dyDescent="0.35">
      <c r="A1" s="81" t="s">
        <v>79</v>
      </c>
      <c r="B1" s="81" t="s">
        <v>80</v>
      </c>
      <c r="C1" s="81" t="s">
        <v>229</v>
      </c>
      <c r="D1" s="81" t="s">
        <v>225</v>
      </c>
      <c r="E1" s="81" t="s">
        <v>228</v>
      </c>
      <c r="F1" s="81" t="s">
        <v>226</v>
      </c>
      <c r="G1" s="81" t="s">
        <v>227</v>
      </c>
    </row>
    <row r="2" spans="1:7" ht="15" customHeight="1" x14ac:dyDescent="0.4">
      <c r="A2" s="71">
        <v>0</v>
      </c>
      <c r="B2" s="72" t="s">
        <v>11</v>
      </c>
      <c r="C2" s="79" t="s">
        <v>180</v>
      </c>
      <c r="D2" s="98">
        <v>209652396</v>
      </c>
      <c r="E2" s="98">
        <v>398764591</v>
      </c>
      <c r="F2" s="98">
        <v>924231285</v>
      </c>
      <c r="G2" s="98">
        <v>1478610112</v>
      </c>
    </row>
    <row r="3" spans="1:7" ht="15" customHeight="1" x14ac:dyDescent="0.4">
      <c r="A3" s="71">
        <f t="shared" ref="A3:A27" si="0">A2+1</f>
        <v>1</v>
      </c>
      <c r="B3" s="72" t="s">
        <v>11</v>
      </c>
      <c r="C3" s="79" t="s">
        <v>179</v>
      </c>
      <c r="D3" s="98">
        <v>441365315</v>
      </c>
      <c r="E3" s="98">
        <v>1537364731</v>
      </c>
      <c r="F3" s="98">
        <v>192771779</v>
      </c>
      <c r="G3" s="98">
        <v>1491434855</v>
      </c>
    </row>
    <row r="4" spans="1:7" ht="15" customHeight="1" x14ac:dyDescent="0.4">
      <c r="A4" s="71">
        <f t="shared" si="0"/>
        <v>2</v>
      </c>
      <c r="B4" s="72" t="s">
        <v>11</v>
      </c>
      <c r="C4" s="79" t="s">
        <v>178</v>
      </c>
      <c r="D4" s="98">
        <v>1819583497</v>
      </c>
      <c r="E4" s="98">
        <v>530702035</v>
      </c>
      <c r="F4" s="98">
        <v>626610453</v>
      </c>
      <c r="G4" s="98">
        <v>1650906866</v>
      </c>
    </row>
    <row r="5" spans="1:7" ht="15" customHeight="1" x14ac:dyDescent="0.4">
      <c r="A5" s="71">
        <f t="shared" si="0"/>
        <v>3</v>
      </c>
      <c r="B5" s="72" t="s">
        <v>11</v>
      </c>
      <c r="C5" s="79" t="s">
        <v>177</v>
      </c>
      <c r="D5" s="98">
        <v>1879422756</v>
      </c>
      <c r="E5" s="98">
        <v>1277901399</v>
      </c>
      <c r="F5" s="98">
        <v>1682652230</v>
      </c>
      <c r="G5" s="98">
        <v>243580376</v>
      </c>
    </row>
    <row r="6" spans="1:7" ht="15" customHeight="1" x14ac:dyDescent="0.4">
      <c r="A6" s="40">
        <f t="shared" si="0"/>
        <v>4</v>
      </c>
      <c r="B6" s="41" t="s">
        <v>11</v>
      </c>
      <c r="C6" s="102" t="s">
        <v>230</v>
      </c>
      <c r="D6" s="99">
        <v>1991416408</v>
      </c>
      <c r="E6" s="99">
        <v>1171049868</v>
      </c>
      <c r="F6" s="99">
        <v>1646868794</v>
      </c>
      <c r="G6" s="99">
        <v>2051556033</v>
      </c>
    </row>
    <row r="7" spans="1:7" ht="15" customHeight="1" x14ac:dyDescent="0.4">
      <c r="A7" s="1">
        <f t="shared" si="0"/>
        <v>5</v>
      </c>
      <c r="B7" t="s">
        <v>31</v>
      </c>
      <c r="C7" s="103" t="s">
        <v>232</v>
      </c>
      <c r="D7" s="100">
        <v>1252949478</v>
      </c>
      <c r="E7" s="100">
        <v>1340754471</v>
      </c>
      <c r="F7" s="100">
        <v>124102743</v>
      </c>
      <c r="G7" s="100">
        <v>2061486254</v>
      </c>
    </row>
    <row r="8" spans="1:7" ht="15" customHeight="1" x14ac:dyDescent="0.4">
      <c r="A8" s="70">
        <f t="shared" si="0"/>
        <v>6</v>
      </c>
      <c r="B8" s="39" t="s">
        <v>31</v>
      </c>
      <c r="C8" s="104" t="s">
        <v>233</v>
      </c>
      <c r="D8" s="100">
        <v>292249176</v>
      </c>
      <c r="E8" s="100">
        <v>1686997841</v>
      </c>
      <c r="F8" s="100">
        <v>1827923621</v>
      </c>
      <c r="G8" s="100">
        <v>1443447321</v>
      </c>
    </row>
    <row r="9" spans="1:7" ht="15" customHeight="1" x14ac:dyDescent="0.4">
      <c r="A9" s="1">
        <f t="shared" si="0"/>
        <v>7</v>
      </c>
      <c r="B9" t="s">
        <v>31</v>
      </c>
      <c r="C9" s="104" t="s">
        <v>234</v>
      </c>
      <c r="D9" s="100">
        <v>305097549</v>
      </c>
      <c r="E9" s="100">
        <v>1449105480</v>
      </c>
      <c r="F9" s="100">
        <v>374217481</v>
      </c>
      <c r="G9" s="100">
        <v>636393364</v>
      </c>
    </row>
    <row r="10" spans="1:7" ht="15" customHeight="1" x14ac:dyDescent="0.4">
      <c r="A10" s="20">
        <f t="shared" si="0"/>
        <v>8</v>
      </c>
      <c r="B10" s="16" t="s">
        <v>31</v>
      </c>
      <c r="C10" s="105" t="s">
        <v>235</v>
      </c>
      <c r="D10" s="101">
        <v>86837363</v>
      </c>
      <c r="E10" s="101">
        <v>1581585360</v>
      </c>
      <c r="F10" s="101">
        <v>1428591347</v>
      </c>
      <c r="G10" s="101">
        <v>1963466437</v>
      </c>
    </row>
    <row r="11" spans="1:7" ht="15" customHeight="1" x14ac:dyDescent="0.4">
      <c r="A11" s="45">
        <f t="shared" si="0"/>
        <v>9</v>
      </c>
      <c r="B11" s="46" t="s">
        <v>32</v>
      </c>
      <c r="C11" s="102" t="s">
        <v>237</v>
      </c>
      <c r="D11" s="99">
        <v>1194674174</v>
      </c>
      <c r="E11" s="99">
        <v>602801999</v>
      </c>
      <c r="F11" s="99">
        <v>1589190063</v>
      </c>
      <c r="G11" s="99">
        <v>1589512640</v>
      </c>
    </row>
    <row r="12" spans="1:7" ht="15" customHeight="1" x14ac:dyDescent="0.4">
      <c r="A12" s="1">
        <f t="shared" si="0"/>
        <v>10</v>
      </c>
      <c r="B12" s="28" t="s">
        <v>69</v>
      </c>
      <c r="C12" s="10" t="s">
        <v>173</v>
      </c>
      <c r="D12" s="100">
        <v>2055650130</v>
      </c>
      <c r="E12" s="100">
        <v>2034131043</v>
      </c>
      <c r="F12" s="100">
        <v>1284876248</v>
      </c>
      <c r="G12" s="100">
        <v>1292401841</v>
      </c>
    </row>
    <row r="13" spans="1:7" ht="15" customHeight="1" x14ac:dyDescent="0.4">
      <c r="A13" s="70">
        <f t="shared" si="0"/>
        <v>11</v>
      </c>
      <c r="B13" s="28" t="s">
        <v>69</v>
      </c>
      <c r="C13" s="78" t="s">
        <v>176</v>
      </c>
      <c r="D13" s="100">
        <v>1982038771</v>
      </c>
      <c r="E13" s="100">
        <v>87950109</v>
      </c>
      <c r="F13" s="100">
        <v>1204863635</v>
      </c>
      <c r="G13" s="100">
        <v>768281747</v>
      </c>
    </row>
    <row r="14" spans="1:7" ht="15" customHeight="1" x14ac:dyDescent="0.4">
      <c r="A14" s="70">
        <f t="shared" si="0"/>
        <v>12</v>
      </c>
      <c r="B14" s="28" t="s">
        <v>69</v>
      </c>
      <c r="C14" s="78" t="s">
        <v>175</v>
      </c>
      <c r="D14" s="100">
        <v>507984782</v>
      </c>
      <c r="E14" s="100">
        <v>947610023</v>
      </c>
      <c r="F14" s="100">
        <v>600956192</v>
      </c>
      <c r="G14" s="100">
        <v>352272321</v>
      </c>
    </row>
    <row r="15" spans="1:7" ht="15" customHeight="1" x14ac:dyDescent="0.4">
      <c r="A15" s="20">
        <f t="shared" si="0"/>
        <v>13</v>
      </c>
      <c r="B15" s="30" t="s">
        <v>69</v>
      </c>
      <c r="C15" s="103" t="s">
        <v>236</v>
      </c>
      <c r="D15" s="101">
        <v>615697673</v>
      </c>
      <c r="E15" s="101">
        <v>160516793</v>
      </c>
      <c r="F15" s="101">
        <v>1909838463</v>
      </c>
      <c r="G15" s="101">
        <v>1110745632</v>
      </c>
    </row>
    <row r="16" spans="1:7" ht="15" customHeight="1" x14ac:dyDescent="0.4">
      <c r="A16" s="45">
        <f t="shared" si="0"/>
        <v>14</v>
      </c>
      <c r="B16" s="46" t="s">
        <v>36</v>
      </c>
      <c r="C16" s="50" t="s">
        <v>171</v>
      </c>
      <c r="D16" s="99">
        <v>93837855</v>
      </c>
      <c r="E16" s="99">
        <v>454869706</v>
      </c>
      <c r="F16" s="99">
        <v>1780959476</v>
      </c>
      <c r="G16" s="99">
        <v>2034098327</v>
      </c>
    </row>
    <row r="17" spans="1:7" ht="15" customHeight="1" x14ac:dyDescent="0.4">
      <c r="A17" s="23">
        <f t="shared" si="0"/>
        <v>15</v>
      </c>
      <c r="B17" s="21" t="s">
        <v>78</v>
      </c>
      <c r="C17" s="31" t="s">
        <v>170</v>
      </c>
      <c r="D17" s="101">
        <v>1136257699</v>
      </c>
      <c r="E17" s="101">
        <v>800291326</v>
      </c>
      <c r="F17" s="101">
        <v>1177824715</v>
      </c>
      <c r="G17" s="101">
        <v>1017555826</v>
      </c>
    </row>
    <row r="18" spans="1:7" s="39" customFormat="1" ht="15" customHeight="1" x14ac:dyDescent="0.4">
      <c r="A18" s="63">
        <f t="shared" si="0"/>
        <v>16</v>
      </c>
      <c r="B18" s="64" t="s">
        <v>93</v>
      </c>
      <c r="C18" s="106" t="s">
        <v>238</v>
      </c>
      <c r="D18" s="98">
        <v>1959150775</v>
      </c>
      <c r="E18" s="98">
        <v>930076700</v>
      </c>
      <c r="F18" s="98">
        <v>293921570</v>
      </c>
      <c r="G18" s="98">
        <v>580757632</v>
      </c>
    </row>
    <row r="19" spans="1:7" s="39" customFormat="1" ht="15" customHeight="1" x14ac:dyDescent="0.4">
      <c r="A19" s="40">
        <f t="shared" si="0"/>
        <v>17</v>
      </c>
      <c r="B19" s="41" t="s">
        <v>93</v>
      </c>
      <c r="C19" s="102" t="s">
        <v>239</v>
      </c>
      <c r="D19" s="99">
        <v>80701568</v>
      </c>
      <c r="E19" s="99">
        <v>1392175012</v>
      </c>
      <c r="F19" s="99">
        <v>505240629</v>
      </c>
      <c r="G19" s="99">
        <v>642848645</v>
      </c>
    </row>
    <row r="20" spans="1:7" ht="15" customHeight="1" x14ac:dyDescent="0.4">
      <c r="A20" s="20">
        <f t="shared" si="0"/>
        <v>18</v>
      </c>
      <c r="B20" s="30" t="s">
        <v>104</v>
      </c>
      <c r="C20" s="18" t="s">
        <v>181</v>
      </c>
      <c r="D20" s="101">
        <v>481447462</v>
      </c>
      <c r="E20" s="101">
        <v>954863080</v>
      </c>
      <c r="F20" s="101">
        <v>502227700</v>
      </c>
      <c r="G20" s="101">
        <v>1659957521</v>
      </c>
    </row>
    <row r="21" spans="1:7" ht="15" customHeight="1" x14ac:dyDescent="0.4">
      <c r="A21" s="45">
        <f t="shared" si="0"/>
        <v>19</v>
      </c>
      <c r="B21" s="46" t="s">
        <v>112</v>
      </c>
      <c r="C21" s="107" t="s">
        <v>240</v>
      </c>
      <c r="D21" s="99">
        <v>1905883471</v>
      </c>
      <c r="E21" s="99">
        <v>1729147268</v>
      </c>
      <c r="F21" s="99">
        <v>780912233</v>
      </c>
      <c r="G21" s="99">
        <v>1932520490</v>
      </c>
    </row>
    <row r="22" spans="1:7" x14ac:dyDescent="0.4">
      <c r="A22" s="23">
        <f t="shared" si="0"/>
        <v>20</v>
      </c>
      <c r="B22" s="37" t="s">
        <v>115</v>
      </c>
      <c r="C22" s="108" t="s">
        <v>241</v>
      </c>
      <c r="D22" s="101">
        <v>1544074682</v>
      </c>
      <c r="E22" s="101">
        <v>485603871</v>
      </c>
      <c r="F22" s="101">
        <v>1877037944</v>
      </c>
      <c r="G22" s="101">
        <v>1728073985</v>
      </c>
    </row>
    <row r="23" spans="1:7" x14ac:dyDescent="0.4">
      <c r="A23" s="45">
        <f t="shared" si="0"/>
        <v>21</v>
      </c>
      <c r="B23" s="46" t="s">
        <v>120</v>
      </c>
      <c r="C23" s="107" t="s">
        <v>242</v>
      </c>
      <c r="D23" s="99">
        <v>848819521</v>
      </c>
      <c r="E23" s="99">
        <v>426405863</v>
      </c>
      <c r="F23" s="99">
        <v>258666409</v>
      </c>
      <c r="G23" s="99">
        <v>2017814585</v>
      </c>
    </row>
    <row r="24" spans="1:7" x14ac:dyDescent="0.4">
      <c r="A24" s="23">
        <f t="shared" si="0"/>
        <v>22</v>
      </c>
      <c r="B24" s="24" t="s">
        <v>128</v>
      </c>
      <c r="C24" s="108" t="s">
        <v>231</v>
      </c>
      <c r="D24" s="101">
        <v>716257571</v>
      </c>
      <c r="E24" s="101">
        <v>657731430</v>
      </c>
      <c r="F24" s="101">
        <v>732884087</v>
      </c>
      <c r="G24" s="101">
        <v>734051083</v>
      </c>
    </row>
    <row r="25" spans="1:7" x14ac:dyDescent="0.4">
      <c r="A25" s="45">
        <f t="shared" si="0"/>
        <v>23</v>
      </c>
      <c r="B25" s="46" t="s">
        <v>130</v>
      </c>
      <c r="C25" s="107" t="s">
        <v>243</v>
      </c>
      <c r="D25" s="99">
        <v>903586222</v>
      </c>
      <c r="E25" s="99">
        <v>1538251858</v>
      </c>
      <c r="F25" s="99">
        <v>553734235</v>
      </c>
      <c r="G25" s="99">
        <v>1076688768</v>
      </c>
    </row>
    <row r="26" spans="1:7" ht="15" customHeight="1" x14ac:dyDescent="0.4">
      <c r="A26" s="23">
        <f t="shared" si="0"/>
        <v>24</v>
      </c>
      <c r="B26" s="37" t="s">
        <v>140</v>
      </c>
      <c r="C26" s="108" t="s">
        <v>244</v>
      </c>
      <c r="D26" s="101">
        <v>1354754446</v>
      </c>
      <c r="E26" s="101">
        <v>463129187</v>
      </c>
      <c r="F26" s="101">
        <v>1562125877</v>
      </c>
      <c r="G26" s="101">
        <v>1396067212</v>
      </c>
    </row>
    <row r="27" spans="1:7" ht="15" customHeight="1" x14ac:dyDescent="0.4">
      <c r="A27" s="45">
        <f t="shared" si="0"/>
        <v>25</v>
      </c>
      <c r="B27" s="46" t="s">
        <v>158</v>
      </c>
      <c r="C27" s="107" t="s">
        <v>245</v>
      </c>
      <c r="D27" s="99">
        <v>301492857</v>
      </c>
      <c r="E27" s="99">
        <v>165035946</v>
      </c>
      <c r="F27" s="99">
        <v>1883779156</v>
      </c>
      <c r="G27" s="99">
        <v>576702667</v>
      </c>
    </row>
  </sheetData>
  <autoFilter ref="A1:G27"/>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workbookViewId="0">
      <selection activeCell="D23" sqref="D23"/>
    </sheetView>
  </sheetViews>
  <sheetFormatPr defaultRowHeight="14.6" x14ac:dyDescent="0.4"/>
  <sheetData>
    <row r="1" spans="1:10" x14ac:dyDescent="0.4">
      <c r="A1" s="116" t="s">
        <v>257</v>
      </c>
    </row>
    <row r="2" spans="1:10" x14ac:dyDescent="0.4">
      <c r="A2" s="109" t="s">
        <v>247</v>
      </c>
    </row>
    <row r="3" spans="1:10" x14ac:dyDescent="0.4">
      <c r="A3" s="117"/>
      <c r="B3" s="118" t="s">
        <v>252</v>
      </c>
      <c r="C3" s="117"/>
      <c r="D3" s="117"/>
      <c r="E3" s="117"/>
      <c r="F3" s="117"/>
      <c r="G3" s="118" t="s">
        <v>253</v>
      </c>
      <c r="H3" s="117"/>
      <c r="I3" s="117"/>
      <c r="J3" s="117"/>
    </row>
    <row r="4" spans="1:10" x14ac:dyDescent="0.4">
      <c r="A4" s="117"/>
      <c r="B4" s="119" t="s">
        <v>248</v>
      </c>
      <c r="C4" s="119" t="s">
        <v>250</v>
      </c>
      <c r="D4" s="119" t="s">
        <v>251</v>
      </c>
      <c r="E4" s="120" t="s">
        <v>249</v>
      </c>
      <c r="F4" s="117"/>
      <c r="G4" s="119" t="s">
        <v>248</v>
      </c>
      <c r="H4" s="119" t="s">
        <v>250</v>
      </c>
      <c r="I4" s="119" t="s">
        <v>251</v>
      </c>
      <c r="J4" s="120" t="s">
        <v>249</v>
      </c>
    </row>
    <row r="5" spans="1:10" x14ac:dyDescent="0.4">
      <c r="A5" s="117" t="s">
        <v>5</v>
      </c>
      <c r="B5" s="117">
        <v>83</v>
      </c>
      <c r="C5" s="122">
        <v>34</v>
      </c>
      <c r="D5" s="121">
        <f>B5-C5</f>
        <v>49</v>
      </c>
      <c r="E5" s="121">
        <f>D5/C5</f>
        <v>1.4411764705882353</v>
      </c>
      <c r="F5" s="117"/>
      <c r="G5" s="117">
        <v>83</v>
      </c>
      <c r="H5" s="122">
        <v>40</v>
      </c>
      <c r="I5" s="121">
        <f>G5-H5</f>
        <v>43</v>
      </c>
      <c r="J5" s="121">
        <f>I5/H5</f>
        <v>1.075</v>
      </c>
    </row>
    <row r="6" spans="1:10" x14ac:dyDescent="0.4">
      <c r="A6" s="117" t="s">
        <v>254</v>
      </c>
      <c r="B6" s="117">
        <v>80</v>
      </c>
      <c r="C6" s="122">
        <v>22</v>
      </c>
      <c r="D6" s="121">
        <f>B6-C6</f>
        <v>58</v>
      </c>
      <c r="E6" s="121">
        <f>D6/C6</f>
        <v>2.6363636363636362</v>
      </c>
      <c r="F6" s="117"/>
      <c r="G6" s="117">
        <v>80</v>
      </c>
      <c r="H6" s="122">
        <v>40</v>
      </c>
      <c r="I6" s="121">
        <f>G6-H6</f>
        <v>40</v>
      </c>
      <c r="J6" s="121">
        <f>I6/H6</f>
        <v>1</v>
      </c>
    </row>
    <row r="9" spans="1:10" x14ac:dyDescent="0.4">
      <c r="B9" s="114" t="s">
        <v>255</v>
      </c>
      <c r="G9" s="114" t="s">
        <v>256</v>
      </c>
    </row>
    <row r="10" spans="1:10" x14ac:dyDescent="0.4">
      <c r="B10" s="110" t="s">
        <v>248</v>
      </c>
      <c r="C10" s="110" t="s">
        <v>250</v>
      </c>
      <c r="D10" s="110" t="s">
        <v>251</v>
      </c>
      <c r="E10" s="109" t="s">
        <v>249</v>
      </c>
      <c r="G10" s="110" t="s">
        <v>248</v>
      </c>
      <c r="H10" s="110" t="s">
        <v>250</v>
      </c>
      <c r="I10" s="110" t="s">
        <v>251</v>
      </c>
      <c r="J10" s="109" t="s">
        <v>249</v>
      </c>
    </row>
    <row r="11" spans="1:10" x14ac:dyDescent="0.4">
      <c r="A11" t="s">
        <v>5</v>
      </c>
      <c r="B11">
        <v>69</v>
      </c>
      <c r="C11" s="112">
        <v>34</v>
      </c>
      <c r="D11" s="113">
        <f>B11-C11</f>
        <v>35</v>
      </c>
      <c r="E11" s="113">
        <f>D11/C11</f>
        <v>1.0294117647058822</v>
      </c>
      <c r="G11">
        <v>69</v>
      </c>
      <c r="H11" s="112">
        <v>40</v>
      </c>
      <c r="I11" s="113">
        <f>G11-H11</f>
        <v>29</v>
      </c>
      <c r="J11" s="113">
        <f>I11/H11</f>
        <v>0.72499999999999998</v>
      </c>
    </row>
    <row r="12" spans="1:10" x14ac:dyDescent="0.4">
      <c r="A12" t="s">
        <v>254</v>
      </c>
      <c r="B12">
        <v>60</v>
      </c>
      <c r="C12" s="112">
        <v>22</v>
      </c>
      <c r="D12" s="113">
        <f>B12-C12</f>
        <v>38</v>
      </c>
      <c r="E12" s="113">
        <f>D12/C12</f>
        <v>1.7272727272727273</v>
      </c>
      <c r="G12">
        <v>60</v>
      </c>
      <c r="H12" s="112">
        <v>40</v>
      </c>
      <c r="I12" s="113">
        <f>G12-H12</f>
        <v>20</v>
      </c>
      <c r="J12" s="113">
        <f>I12/H12</f>
        <v>0.5</v>
      </c>
    </row>
    <row r="14" spans="1:10" s="123" customFormat="1" ht="15" thickBot="1" x14ac:dyDescent="0.45"/>
    <row r="15" spans="1:10" ht="15" thickTop="1" x14ac:dyDescent="0.4">
      <c r="A15" s="133" t="s">
        <v>278</v>
      </c>
    </row>
    <row r="16" spans="1:10" x14ac:dyDescent="0.4">
      <c r="A16" s="128" t="s">
        <v>270</v>
      </c>
    </row>
    <row r="17" spans="1:19" x14ac:dyDescent="0.4">
      <c r="C17" t="s">
        <v>259</v>
      </c>
      <c r="D17" t="s">
        <v>258</v>
      </c>
    </row>
    <row r="18" spans="1:19" x14ac:dyDescent="0.4">
      <c r="B18" s="109" t="s">
        <v>260</v>
      </c>
      <c r="C18" s="125">
        <v>48</v>
      </c>
      <c r="D18">
        <f>D19*24*7</f>
        <v>168</v>
      </c>
      <c r="L18" s="109" t="s">
        <v>271</v>
      </c>
    </row>
    <row r="19" spans="1:19" x14ac:dyDescent="0.4">
      <c r="A19" s="127"/>
      <c r="B19" s="126" t="s">
        <v>262</v>
      </c>
      <c r="C19" s="132">
        <f>C18/(24*7)</f>
        <v>0.2857142857142857</v>
      </c>
      <c r="D19" s="130">
        <v>1</v>
      </c>
      <c r="F19" s="111" t="s">
        <v>276</v>
      </c>
      <c r="L19" t="s">
        <v>272</v>
      </c>
    </row>
    <row r="20" spans="1:19" x14ac:dyDescent="0.4">
      <c r="B20" s="124" t="s">
        <v>261</v>
      </c>
      <c r="C20">
        <f>C19*5</f>
        <v>1.4285714285714284</v>
      </c>
      <c r="D20">
        <f>D19*5</f>
        <v>5</v>
      </c>
      <c r="F20" s="111" t="s">
        <v>263</v>
      </c>
      <c r="L20" t="s">
        <v>286</v>
      </c>
    </row>
    <row r="21" spans="1:19" x14ac:dyDescent="0.4">
      <c r="L21" t="s">
        <v>273</v>
      </c>
    </row>
    <row r="22" spans="1:19" x14ac:dyDescent="0.4">
      <c r="B22" s="124" t="s">
        <v>264</v>
      </c>
      <c r="C22" s="125">
        <v>0.8</v>
      </c>
      <c r="D22" s="125">
        <v>0.99999899999999997</v>
      </c>
      <c r="F22" s="111" t="s">
        <v>265</v>
      </c>
    </row>
    <row r="23" spans="1:19" x14ac:dyDescent="0.4">
      <c r="F23" s="131" t="s">
        <v>274</v>
      </c>
    </row>
    <row r="24" spans="1:19" x14ac:dyDescent="0.4">
      <c r="L24" s="109" t="s">
        <v>277</v>
      </c>
    </row>
    <row r="25" spans="1:19" x14ac:dyDescent="0.4">
      <c r="B25" s="124" t="s">
        <v>266</v>
      </c>
      <c r="C25">
        <f>C22/(1-C22)*C19</f>
        <v>1.142857142857143</v>
      </c>
      <c r="D25">
        <f>D22/(1-D22)*D19</f>
        <v>999998.99997124437</v>
      </c>
      <c r="F25" t="s">
        <v>275</v>
      </c>
    </row>
    <row r="26" spans="1:19" x14ac:dyDescent="0.4">
      <c r="B26" s="124" t="s">
        <v>267</v>
      </c>
      <c r="C26">
        <f>C25+C19</f>
        <v>1.4285714285714288</v>
      </c>
      <c r="D26">
        <f>D25+D19</f>
        <v>999999.99997124437</v>
      </c>
      <c r="L26" t="s">
        <v>281</v>
      </c>
    </row>
    <row r="27" spans="1:19" x14ac:dyDescent="0.4">
      <c r="B27" s="124" t="s">
        <v>269</v>
      </c>
      <c r="C27" s="115">
        <f>C26/52.1428571429</f>
        <v>2.7397260273950091E-2</v>
      </c>
      <c r="D27" s="115">
        <f>D26/52.1428571429</f>
        <v>19178.082191213583</v>
      </c>
      <c r="M27" t="s">
        <v>279</v>
      </c>
      <c r="O27" t="s">
        <v>280</v>
      </c>
    </row>
    <row r="28" spans="1:19" x14ac:dyDescent="0.4">
      <c r="A28" s="127"/>
      <c r="B28" s="126" t="s">
        <v>268</v>
      </c>
      <c r="C28" s="109">
        <f>1/C27</f>
        <v>36.500000000029992</v>
      </c>
      <c r="D28" s="129">
        <f>1/D27</f>
        <v>5.2142857144399393E-5</v>
      </c>
      <c r="M28" t="s">
        <v>264</v>
      </c>
      <c r="O28" t="s">
        <v>285</v>
      </c>
      <c r="S28" s="2" t="s">
        <v>284</v>
      </c>
    </row>
    <row r="30" spans="1:19" x14ac:dyDescent="0.4">
      <c r="L30" t="s">
        <v>282</v>
      </c>
    </row>
    <row r="32" spans="1:19" x14ac:dyDescent="0.4">
      <c r="L32" t="s">
        <v>283</v>
      </c>
    </row>
    <row r="35" spans="1:4" s="167" customFormat="1" x14ac:dyDescent="0.4"/>
    <row r="37" spans="1:4" x14ac:dyDescent="0.4">
      <c r="B37" t="s">
        <v>287</v>
      </c>
    </row>
    <row r="39" spans="1:4" x14ac:dyDescent="0.4">
      <c r="C39" t="s">
        <v>259</v>
      </c>
      <c r="D39" t="s">
        <v>258</v>
      </c>
    </row>
    <row r="40" spans="1:4" x14ac:dyDescent="0.4">
      <c r="B40" s="124" t="s">
        <v>264</v>
      </c>
      <c r="C40" s="125">
        <v>0.8</v>
      </c>
      <c r="D40" s="125">
        <v>0.95</v>
      </c>
    </row>
    <row r="41" spans="1:4" x14ac:dyDescent="0.4">
      <c r="A41" s="127"/>
      <c r="B41" s="126" t="s">
        <v>268</v>
      </c>
      <c r="C41" s="130">
        <v>2</v>
      </c>
      <c r="D41" s="130">
        <v>24</v>
      </c>
    </row>
  </sheetData>
  <hyperlinks>
    <hyperlink ref="F23" r:id="rId1"/>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6" tint="-0.249977111117893"/>
  </sheetPr>
  <dimension ref="A1:Q148"/>
  <sheetViews>
    <sheetView topLeftCell="A92" workbookViewId="0">
      <selection activeCell="C100" sqref="C100"/>
    </sheetView>
  </sheetViews>
  <sheetFormatPr defaultColWidth="9.15234375" defaultRowHeight="14.6" x14ac:dyDescent="0.4"/>
  <cols>
    <col min="1" max="16384" width="9.15234375" style="5"/>
  </cols>
  <sheetData>
    <row r="1" spans="1:17" x14ac:dyDescent="0.4">
      <c r="B1" s="9" t="s">
        <v>9</v>
      </c>
    </row>
    <row r="2" spans="1:17" ht="15" thickBot="1" x14ac:dyDescent="0.45">
      <c r="A2" s="32"/>
      <c r="B2" s="32"/>
      <c r="C2" s="32"/>
      <c r="D2" s="32"/>
      <c r="E2" s="32"/>
      <c r="F2" s="32"/>
      <c r="G2" s="32"/>
      <c r="H2" s="32"/>
      <c r="I2" s="32"/>
      <c r="J2" s="32"/>
      <c r="K2" s="32"/>
      <c r="L2" s="32"/>
      <c r="M2" s="32"/>
      <c r="N2" s="32"/>
      <c r="O2" s="32"/>
      <c r="P2" s="32"/>
      <c r="Q2" s="32"/>
    </row>
    <row r="3" spans="1:17" ht="15" thickTop="1" x14ac:dyDescent="0.4">
      <c r="B3" s="25" t="s">
        <v>20</v>
      </c>
      <c r="C3" s="14"/>
      <c r="D3" s="14"/>
      <c r="E3" s="14"/>
      <c r="F3" s="14"/>
      <c r="G3" s="14"/>
      <c r="H3" s="14"/>
      <c r="I3" s="14"/>
      <c r="J3" s="14"/>
      <c r="K3" s="14"/>
      <c r="L3" s="14"/>
      <c r="M3" s="14"/>
      <c r="N3" s="14"/>
      <c r="O3" s="14"/>
      <c r="P3" s="14"/>
      <c r="Q3" s="14"/>
    </row>
    <row r="4" spans="1:17" x14ac:dyDescent="0.4">
      <c r="B4" s="4" t="s">
        <v>15</v>
      </c>
    </row>
    <row r="5" spans="1:17" x14ac:dyDescent="0.4">
      <c r="C5" s="5" t="s">
        <v>27</v>
      </c>
    </row>
    <row r="6" spans="1:17" x14ac:dyDescent="0.4">
      <c r="B6" s="4" t="s">
        <v>24</v>
      </c>
    </row>
    <row r="7" spans="1:17" x14ac:dyDescent="0.4">
      <c r="C7" s="6" t="s">
        <v>25</v>
      </c>
    </row>
    <row r="10" spans="1:17" x14ac:dyDescent="0.4">
      <c r="B10" s="4" t="s">
        <v>10</v>
      </c>
    </row>
    <row r="11" spans="1:17" x14ac:dyDescent="0.4">
      <c r="C11" s="6" t="s">
        <v>12</v>
      </c>
      <c r="H11" s="7" t="s">
        <v>14</v>
      </c>
    </row>
    <row r="12" spans="1:17" x14ac:dyDescent="0.4">
      <c r="C12" s="6"/>
      <c r="G12" s="7"/>
    </row>
    <row r="13" spans="1:17" x14ac:dyDescent="0.4">
      <c r="C13" s="6"/>
      <c r="G13" s="7"/>
    </row>
    <row r="14" spans="1:17" ht="15" thickBot="1" x14ac:dyDescent="0.45">
      <c r="A14" s="32"/>
      <c r="B14" s="32"/>
      <c r="C14" s="32"/>
      <c r="D14" s="32"/>
      <c r="E14" s="32"/>
      <c r="F14" s="32"/>
      <c r="G14" s="32"/>
      <c r="H14" s="32"/>
      <c r="I14" s="32"/>
      <c r="J14" s="32"/>
      <c r="K14" s="32"/>
      <c r="L14" s="32"/>
      <c r="M14" s="32"/>
      <c r="N14" s="32"/>
      <c r="O14" s="32"/>
      <c r="P14" s="32"/>
      <c r="Q14" s="32"/>
    </row>
    <row r="15" spans="1:17" ht="15" thickTop="1" x14ac:dyDescent="0.4">
      <c r="B15" s="26" t="s">
        <v>11</v>
      </c>
      <c r="C15" s="27"/>
      <c r="D15" s="27"/>
      <c r="E15" s="27"/>
      <c r="F15" s="27"/>
      <c r="G15" s="27"/>
      <c r="H15" s="27"/>
      <c r="I15" s="27"/>
      <c r="J15" s="27"/>
      <c r="K15" s="27"/>
      <c r="L15" s="27"/>
      <c r="M15" s="27"/>
      <c r="N15" s="27"/>
      <c r="O15" s="27"/>
      <c r="P15" s="27"/>
      <c r="Q15" s="27"/>
    </row>
    <row r="16" spans="1:17" x14ac:dyDescent="0.4">
      <c r="C16" s="6" t="s">
        <v>21</v>
      </c>
      <c r="H16" s="7" t="s">
        <v>13</v>
      </c>
    </row>
    <row r="17" spans="1:17" x14ac:dyDescent="0.4">
      <c r="C17" s="6" t="s">
        <v>19</v>
      </c>
      <c r="H17" s="7" t="s">
        <v>22</v>
      </c>
      <c r="J17" s="6" t="s">
        <v>76</v>
      </c>
    </row>
    <row r="19" spans="1:17" ht="15" thickBot="1" x14ac:dyDescent="0.45">
      <c r="A19" s="32"/>
      <c r="B19" s="32"/>
      <c r="C19" s="32"/>
      <c r="D19" s="32"/>
      <c r="E19" s="32"/>
      <c r="F19" s="32"/>
      <c r="G19" s="32"/>
      <c r="H19" s="32"/>
      <c r="I19" s="32"/>
      <c r="J19" s="32"/>
      <c r="K19" s="32"/>
      <c r="L19" s="32"/>
      <c r="M19" s="32"/>
      <c r="N19" s="32"/>
      <c r="O19" s="32"/>
      <c r="P19" s="32"/>
      <c r="Q19" s="32"/>
    </row>
    <row r="20" spans="1:17" ht="15" thickTop="1" x14ac:dyDescent="0.4">
      <c r="B20" s="25" t="s">
        <v>68</v>
      </c>
      <c r="C20" s="14"/>
      <c r="D20" s="14"/>
      <c r="E20" s="14"/>
      <c r="F20" s="14"/>
      <c r="G20" s="14"/>
      <c r="H20" s="14"/>
      <c r="I20" s="14"/>
      <c r="J20" s="14"/>
      <c r="K20" s="14"/>
      <c r="L20" s="14"/>
      <c r="M20" s="14"/>
      <c r="N20" s="14"/>
      <c r="O20" s="14"/>
      <c r="P20" s="14"/>
      <c r="Q20" s="14"/>
    </row>
    <row r="21" spans="1:17" x14ac:dyDescent="0.4">
      <c r="B21" s="4" t="s">
        <v>34</v>
      </c>
      <c r="C21" s="27"/>
      <c r="D21" s="27"/>
      <c r="E21" s="27"/>
      <c r="F21" s="27"/>
      <c r="G21" s="27"/>
      <c r="H21" s="27"/>
      <c r="I21" s="27"/>
      <c r="J21" s="27"/>
      <c r="K21" s="27"/>
      <c r="L21" s="27"/>
      <c r="M21" s="27"/>
      <c r="N21" s="27"/>
      <c r="O21" s="27"/>
      <c r="P21" s="27"/>
      <c r="Q21" s="27"/>
    </row>
    <row r="22" spans="1:17" x14ac:dyDescent="0.4">
      <c r="C22" s="6" t="s">
        <v>35</v>
      </c>
      <c r="H22" s="7" t="s">
        <v>13</v>
      </c>
    </row>
    <row r="25" spans="1:17" x14ac:dyDescent="0.4">
      <c r="C25" s="6" t="s">
        <v>43</v>
      </c>
      <c r="H25" s="7" t="s">
        <v>44</v>
      </c>
    </row>
    <row r="26" spans="1:17" x14ac:dyDescent="0.4">
      <c r="H26" s="7" t="s">
        <v>45</v>
      </c>
    </row>
    <row r="27" spans="1:17" x14ac:dyDescent="0.4">
      <c r="H27" s="7" t="s">
        <v>168</v>
      </c>
    </row>
    <row r="28" spans="1:17" x14ac:dyDescent="0.4">
      <c r="H28" s="7"/>
    </row>
    <row r="30" spans="1:17" x14ac:dyDescent="0.4">
      <c r="C30" s="6" t="s">
        <v>40</v>
      </c>
      <c r="H30" s="7" t="s">
        <v>39</v>
      </c>
    </row>
    <row r="31" spans="1:17" x14ac:dyDescent="0.4">
      <c r="H31" s="7" t="s">
        <v>41</v>
      </c>
    </row>
    <row r="32" spans="1:17" x14ac:dyDescent="0.4">
      <c r="H32" s="7" t="s">
        <v>42</v>
      </c>
    </row>
    <row r="34" spans="2:9" x14ac:dyDescent="0.4">
      <c r="C34" s="6" t="s">
        <v>46</v>
      </c>
      <c r="H34" s="7" t="s">
        <v>48</v>
      </c>
    </row>
    <row r="35" spans="2:9" x14ac:dyDescent="0.4">
      <c r="H35" s="7" t="s">
        <v>62</v>
      </c>
    </row>
    <row r="37" spans="2:9" x14ac:dyDescent="0.4">
      <c r="C37" s="6" t="s">
        <v>53</v>
      </c>
      <c r="H37" s="11" t="s">
        <v>50</v>
      </c>
      <c r="I37" s="12"/>
    </row>
    <row r="38" spans="2:9" x14ac:dyDescent="0.4">
      <c r="H38" s="12">
        <f>3*250</f>
        <v>750</v>
      </c>
      <c r="I38" s="13" t="s">
        <v>7</v>
      </c>
    </row>
    <row r="39" spans="2:9" x14ac:dyDescent="0.4">
      <c r="H39" s="12">
        <f>3*250</f>
        <v>750</v>
      </c>
      <c r="I39" s="13" t="s">
        <v>51</v>
      </c>
    </row>
    <row r="40" spans="2:9" x14ac:dyDescent="0.4">
      <c r="H40" s="12">
        <f>2*370</f>
        <v>740</v>
      </c>
      <c r="I40" s="13" t="s">
        <v>52</v>
      </c>
    </row>
    <row r="41" spans="2:9" x14ac:dyDescent="0.4">
      <c r="H41" s="12">
        <f>2*400</f>
        <v>800</v>
      </c>
      <c r="I41" s="13" t="s">
        <v>33</v>
      </c>
    </row>
    <row r="42" spans="2:9" x14ac:dyDescent="0.4">
      <c r="H42" s="12">
        <f>2*105</f>
        <v>210</v>
      </c>
      <c r="I42" s="13" t="s">
        <v>49</v>
      </c>
    </row>
    <row r="43" spans="2:9" x14ac:dyDescent="0.4">
      <c r="H43" s="15">
        <f>SUM(H38:H42)</f>
        <v>3250</v>
      </c>
      <c r="I43" s="14"/>
    </row>
    <row r="44" spans="2:9" x14ac:dyDescent="0.4">
      <c r="B44" s="4" t="s">
        <v>67</v>
      </c>
    </row>
    <row r="45" spans="2:9" x14ac:dyDescent="0.4">
      <c r="C45" s="5" t="s">
        <v>57</v>
      </c>
      <c r="H45" s="7" t="s">
        <v>58</v>
      </c>
    </row>
    <row r="46" spans="2:9" x14ac:dyDescent="0.4">
      <c r="C46" s="6" t="s">
        <v>65</v>
      </c>
      <c r="H46" s="7" t="s">
        <v>59</v>
      </c>
    </row>
    <row r="49" spans="1:17" ht="15" thickBot="1" x14ac:dyDescent="0.45">
      <c r="A49" s="32"/>
      <c r="B49" s="32"/>
      <c r="C49" s="32"/>
      <c r="D49" s="32"/>
      <c r="E49" s="32"/>
      <c r="F49" s="32"/>
      <c r="G49" s="32"/>
      <c r="H49" s="32"/>
      <c r="I49" s="32"/>
      <c r="J49" s="32"/>
      <c r="K49" s="32"/>
      <c r="L49" s="32"/>
      <c r="M49" s="32"/>
      <c r="N49" s="32"/>
      <c r="O49" s="32"/>
      <c r="P49" s="32"/>
      <c r="Q49" s="32"/>
    </row>
    <row r="50" spans="1:17" ht="15" thickTop="1" x14ac:dyDescent="0.4">
      <c r="B50" s="25" t="s">
        <v>69</v>
      </c>
      <c r="C50" s="14"/>
      <c r="D50" s="14"/>
      <c r="E50" s="14"/>
      <c r="F50" s="14"/>
      <c r="G50" s="14"/>
      <c r="H50" s="14"/>
      <c r="I50" s="14"/>
      <c r="J50" s="14"/>
      <c r="K50" s="14"/>
      <c r="L50" s="14"/>
      <c r="M50" s="14"/>
      <c r="N50" s="14"/>
      <c r="O50" s="14"/>
      <c r="P50" s="14"/>
      <c r="Q50" s="14"/>
    </row>
    <row r="51" spans="1:17" x14ac:dyDescent="0.4">
      <c r="B51" s="4" t="s">
        <v>66</v>
      </c>
    </row>
    <row r="52" spans="1:17" x14ac:dyDescent="0.4">
      <c r="C52" s="6" t="s">
        <v>69</v>
      </c>
      <c r="H52" s="7" t="s">
        <v>70</v>
      </c>
    </row>
    <row r="53" spans="1:17" x14ac:dyDescent="0.4">
      <c r="H53" s="7" t="s">
        <v>71</v>
      </c>
    </row>
    <row r="54" spans="1:17" x14ac:dyDescent="0.4">
      <c r="C54" s="6" t="s">
        <v>35</v>
      </c>
      <c r="H54" s="7" t="s">
        <v>13</v>
      </c>
    </row>
    <row r="56" spans="1:17" x14ac:dyDescent="0.4">
      <c r="B56" s="4" t="s">
        <v>72</v>
      </c>
    </row>
    <row r="57" spans="1:17" x14ac:dyDescent="0.4">
      <c r="C57" s="6" t="s">
        <v>66</v>
      </c>
      <c r="H57" s="7" t="s">
        <v>73</v>
      </c>
    </row>
    <row r="58" spans="1:17" x14ac:dyDescent="0.4">
      <c r="B58" s="4" t="s">
        <v>90</v>
      </c>
    </row>
    <row r="59" spans="1:17" x14ac:dyDescent="0.4">
      <c r="C59" s="6" t="s">
        <v>172</v>
      </c>
    </row>
    <row r="61" spans="1:17" ht="15" thickBot="1" x14ac:dyDescent="0.45">
      <c r="A61" s="32"/>
      <c r="B61" s="32"/>
      <c r="C61" s="32"/>
      <c r="D61" s="32"/>
      <c r="E61" s="32"/>
      <c r="F61" s="32"/>
      <c r="G61" s="32"/>
      <c r="H61" s="32"/>
      <c r="I61" s="32"/>
      <c r="J61" s="32"/>
      <c r="K61" s="32"/>
      <c r="L61" s="32"/>
      <c r="M61" s="32"/>
      <c r="N61" s="32"/>
      <c r="O61" s="32"/>
      <c r="P61" s="32"/>
      <c r="Q61" s="32"/>
    </row>
    <row r="62" spans="1:17" ht="15" thickTop="1" x14ac:dyDescent="0.4">
      <c r="B62" s="25" t="s">
        <v>81</v>
      </c>
      <c r="C62" s="14"/>
      <c r="D62" s="14"/>
      <c r="E62" s="14"/>
      <c r="F62" s="14"/>
      <c r="G62" s="14"/>
      <c r="H62" s="14"/>
      <c r="I62" s="14"/>
      <c r="J62" s="14"/>
      <c r="K62" s="14"/>
      <c r="L62" s="14"/>
      <c r="M62" s="14"/>
      <c r="N62" s="14"/>
      <c r="O62" s="14"/>
      <c r="P62" s="14"/>
      <c r="Q62" s="14"/>
    </row>
    <row r="63" spans="1:17" x14ac:dyDescent="0.4">
      <c r="B63" s="4" t="s">
        <v>82</v>
      </c>
    </row>
    <row r="64" spans="1:17" x14ac:dyDescent="0.4">
      <c r="C64" s="6" t="s">
        <v>83</v>
      </c>
      <c r="H64" s="7" t="s">
        <v>84</v>
      </c>
    </row>
    <row r="65" spans="1:17" x14ac:dyDescent="0.4">
      <c r="H65" s="7" t="s">
        <v>85</v>
      </c>
    </row>
    <row r="66" spans="1:17" x14ac:dyDescent="0.4">
      <c r="H66" s="7" t="s">
        <v>86</v>
      </c>
    </row>
    <row r="67" spans="1:17" x14ac:dyDescent="0.4">
      <c r="H67" s="7" t="s">
        <v>88</v>
      </c>
    </row>
    <row r="68" spans="1:17" x14ac:dyDescent="0.4">
      <c r="H68" s="7" t="s">
        <v>87</v>
      </c>
    </row>
    <row r="70" spans="1:17" x14ac:dyDescent="0.4">
      <c r="B70" s="4" t="s">
        <v>90</v>
      </c>
    </row>
    <row r="71" spans="1:17" x14ac:dyDescent="0.4">
      <c r="C71" s="35" t="s">
        <v>91</v>
      </c>
      <c r="H71" s="34" t="s">
        <v>89</v>
      </c>
    </row>
    <row r="72" spans="1:17" x14ac:dyDescent="0.4">
      <c r="C72" s="35" t="s">
        <v>190</v>
      </c>
      <c r="H72" s="34"/>
    </row>
    <row r="73" spans="1:17" x14ac:dyDescent="0.4">
      <c r="C73" s="35"/>
      <c r="H73" s="34"/>
    </row>
    <row r="74" spans="1:17" ht="15" thickBot="1" x14ac:dyDescent="0.45">
      <c r="A74" s="32"/>
      <c r="B74" s="32"/>
      <c r="C74" s="32"/>
      <c r="D74" s="32"/>
      <c r="E74" s="32"/>
      <c r="F74" s="32"/>
      <c r="G74" s="32"/>
      <c r="H74" s="32"/>
      <c r="I74" s="32"/>
      <c r="J74" s="32"/>
      <c r="K74" s="32"/>
      <c r="L74" s="32"/>
      <c r="M74" s="32"/>
      <c r="N74" s="32"/>
      <c r="O74" s="32"/>
      <c r="P74" s="32"/>
      <c r="Q74" s="32"/>
    </row>
    <row r="75" spans="1:17" ht="15" thickTop="1" x14ac:dyDescent="0.4">
      <c r="B75" s="25" t="s">
        <v>92</v>
      </c>
      <c r="C75" s="14"/>
      <c r="D75" s="14"/>
      <c r="E75" s="14"/>
      <c r="F75" s="14"/>
      <c r="G75" s="14"/>
      <c r="H75" s="14"/>
      <c r="I75" s="14"/>
      <c r="J75" s="14"/>
      <c r="K75" s="14"/>
      <c r="L75" s="14"/>
      <c r="M75" s="14"/>
      <c r="N75" s="14"/>
      <c r="O75" s="14"/>
      <c r="P75" s="14"/>
      <c r="Q75" s="14"/>
    </row>
    <row r="76" spans="1:17" x14ac:dyDescent="0.4">
      <c r="B76" s="4" t="s">
        <v>95</v>
      </c>
      <c r="C76" s="35"/>
      <c r="H76" s="34"/>
    </row>
    <row r="77" spans="1:17" x14ac:dyDescent="0.4">
      <c r="C77" s="6" t="s">
        <v>96</v>
      </c>
      <c r="H77" s="7" t="s">
        <v>97</v>
      </c>
    </row>
    <row r="78" spans="1:17" x14ac:dyDescent="0.4">
      <c r="C78" s="35"/>
      <c r="H78" s="34"/>
    </row>
    <row r="79" spans="1:17" x14ac:dyDescent="0.4">
      <c r="C79" s="35"/>
      <c r="H79" s="34"/>
    </row>
    <row r="80" spans="1:17" ht="15" thickBot="1" x14ac:dyDescent="0.45">
      <c r="A80" s="32"/>
      <c r="B80" s="32"/>
      <c r="C80" s="32"/>
      <c r="D80" s="32"/>
      <c r="E80" s="32"/>
      <c r="F80" s="32"/>
      <c r="G80" s="32"/>
      <c r="H80" s="32"/>
      <c r="I80" s="32"/>
      <c r="J80" s="32"/>
      <c r="K80" s="32"/>
      <c r="L80" s="32"/>
      <c r="M80" s="32"/>
      <c r="N80" s="32"/>
      <c r="O80" s="32"/>
      <c r="P80" s="32"/>
      <c r="Q80" s="32"/>
    </row>
    <row r="81" spans="1:17" ht="15" thickTop="1" x14ac:dyDescent="0.4">
      <c r="B81" s="25" t="s">
        <v>99</v>
      </c>
      <c r="C81" s="14"/>
      <c r="D81" s="14"/>
      <c r="E81" s="14"/>
      <c r="F81" s="14"/>
      <c r="G81" s="14"/>
      <c r="H81" s="14"/>
      <c r="I81" s="14"/>
      <c r="J81" s="14"/>
      <c r="K81" s="14"/>
      <c r="L81" s="14"/>
      <c r="M81" s="14"/>
      <c r="N81" s="14"/>
      <c r="O81" s="14"/>
      <c r="P81" s="14"/>
      <c r="Q81" s="14"/>
    </row>
    <row r="82" spans="1:17" x14ac:dyDescent="0.4">
      <c r="B82" s="4" t="s">
        <v>72</v>
      </c>
      <c r="C82" s="35"/>
      <c r="H82" s="34"/>
    </row>
    <row r="83" spans="1:17" x14ac:dyDescent="0.4">
      <c r="C83" s="6" t="s">
        <v>100</v>
      </c>
      <c r="H83" s="7" t="s">
        <v>101</v>
      </c>
    </row>
    <row r="84" spans="1:17" x14ac:dyDescent="0.4">
      <c r="C84" s="35"/>
      <c r="H84" s="7" t="s">
        <v>102</v>
      </c>
    </row>
    <row r="85" spans="1:17" x14ac:dyDescent="0.4">
      <c r="B85" s="4" t="s">
        <v>100</v>
      </c>
      <c r="C85" s="35"/>
      <c r="H85" s="34" t="s">
        <v>103</v>
      </c>
    </row>
    <row r="86" spans="1:17" x14ac:dyDescent="0.4">
      <c r="C86" s="6" t="s">
        <v>105</v>
      </c>
      <c r="H86" s="34"/>
    </row>
    <row r="87" spans="1:17" x14ac:dyDescent="0.4">
      <c r="C87" s="35"/>
      <c r="H87" s="34"/>
    </row>
    <row r="88" spans="1:17" x14ac:dyDescent="0.4">
      <c r="C88" s="35"/>
      <c r="H88" s="34"/>
    </row>
    <row r="89" spans="1:17" ht="15" thickBot="1" x14ac:dyDescent="0.45">
      <c r="A89" s="32"/>
      <c r="B89" s="32"/>
      <c r="C89" s="32"/>
      <c r="D89" s="32"/>
      <c r="E89" s="32"/>
      <c r="F89" s="32"/>
      <c r="G89" s="32"/>
      <c r="H89" s="32"/>
      <c r="I89" s="32"/>
      <c r="J89" s="32"/>
      <c r="K89" s="32"/>
      <c r="L89" s="32"/>
      <c r="M89" s="32"/>
      <c r="N89" s="32"/>
      <c r="O89" s="32"/>
      <c r="P89" s="32"/>
      <c r="Q89" s="32"/>
    </row>
    <row r="90" spans="1:17" ht="15" thickTop="1" x14ac:dyDescent="0.4">
      <c r="B90" s="25" t="s">
        <v>106</v>
      </c>
      <c r="C90" s="14"/>
      <c r="D90" s="14"/>
      <c r="E90" s="14"/>
      <c r="F90" s="14"/>
      <c r="G90" s="14"/>
      <c r="H90" s="14"/>
      <c r="I90" s="14"/>
      <c r="J90" s="14"/>
      <c r="K90" s="14"/>
      <c r="L90" s="14"/>
      <c r="M90" s="14"/>
      <c r="N90" s="14"/>
      <c r="O90" s="14"/>
      <c r="P90" s="14"/>
      <c r="Q90" s="14"/>
    </row>
    <row r="91" spans="1:17" x14ac:dyDescent="0.4">
      <c r="B91" s="4" t="s">
        <v>111</v>
      </c>
      <c r="C91" s="35"/>
      <c r="H91" s="34"/>
    </row>
    <row r="92" spans="1:17" x14ac:dyDescent="0.4">
      <c r="C92" s="6" t="s">
        <v>107</v>
      </c>
      <c r="H92" s="7" t="s">
        <v>108</v>
      </c>
    </row>
    <row r="93" spans="1:17" x14ac:dyDescent="0.4">
      <c r="C93" s="36" t="s">
        <v>109</v>
      </c>
      <c r="H93" s="34" t="s">
        <v>110</v>
      </c>
    </row>
    <row r="94" spans="1:17" x14ac:dyDescent="0.4">
      <c r="C94" s="35"/>
      <c r="H94" s="34"/>
    </row>
    <row r="95" spans="1:17" x14ac:dyDescent="0.4">
      <c r="C95" s="35"/>
      <c r="H95" s="34"/>
    </row>
    <row r="96" spans="1:17" x14ac:dyDescent="0.4">
      <c r="C96" s="35"/>
      <c r="H96" s="34"/>
    </row>
    <row r="97" spans="1:17" ht="15" thickBot="1" x14ac:dyDescent="0.45">
      <c r="A97" s="32"/>
      <c r="B97" s="32"/>
      <c r="C97" s="32"/>
      <c r="D97" s="32"/>
      <c r="E97" s="32"/>
      <c r="F97" s="32"/>
      <c r="G97" s="32"/>
      <c r="H97" s="32"/>
      <c r="I97" s="32"/>
      <c r="J97" s="32"/>
      <c r="K97" s="32"/>
      <c r="L97" s="32"/>
      <c r="M97" s="32"/>
      <c r="N97" s="32"/>
      <c r="O97" s="32"/>
      <c r="P97" s="32"/>
      <c r="Q97" s="32"/>
    </row>
    <row r="98" spans="1:17" ht="15" thickTop="1" x14ac:dyDescent="0.4">
      <c r="B98" s="25" t="s">
        <v>134</v>
      </c>
      <c r="C98" s="14"/>
      <c r="D98" s="14"/>
      <c r="E98" s="14"/>
      <c r="F98" s="14"/>
      <c r="G98" s="14"/>
      <c r="H98" s="14"/>
      <c r="I98" s="14"/>
      <c r="J98" s="14"/>
      <c r="K98" s="14"/>
      <c r="L98" s="14"/>
      <c r="M98" s="14"/>
      <c r="N98" s="14"/>
      <c r="O98" s="14"/>
      <c r="P98" s="14"/>
      <c r="Q98" s="14"/>
    </row>
    <row r="99" spans="1:17" x14ac:dyDescent="0.4">
      <c r="B99" s="4" t="s">
        <v>114</v>
      </c>
      <c r="C99" s="35"/>
      <c r="H99" s="34"/>
    </row>
    <row r="100" spans="1:17" x14ac:dyDescent="0.4">
      <c r="C100" s="6" t="s">
        <v>121</v>
      </c>
      <c r="H100" s="7" t="s">
        <v>122</v>
      </c>
    </row>
    <row r="101" spans="1:17" x14ac:dyDescent="0.4">
      <c r="C101" s="6" t="s">
        <v>217</v>
      </c>
      <c r="H101" s="7" t="s">
        <v>218</v>
      </c>
    </row>
    <row r="102" spans="1:17" x14ac:dyDescent="0.4">
      <c r="C102" s="6" t="s">
        <v>118</v>
      </c>
      <c r="H102" s="7" t="s">
        <v>124</v>
      </c>
    </row>
    <row r="103" spans="1:17" x14ac:dyDescent="0.4">
      <c r="C103" s="6" t="s">
        <v>117</v>
      </c>
      <c r="H103" s="7" t="s">
        <v>119</v>
      </c>
    </row>
    <row r="104" spans="1:17" x14ac:dyDescent="0.4">
      <c r="C104" s="88" t="s">
        <v>219</v>
      </c>
    </row>
    <row r="105" spans="1:17" x14ac:dyDescent="0.4">
      <c r="C105" s="35"/>
      <c r="H105" s="34"/>
    </row>
    <row r="106" spans="1:17" x14ac:dyDescent="0.4">
      <c r="B106" s="4" t="s">
        <v>67</v>
      </c>
      <c r="C106" s="35"/>
      <c r="H106" s="34"/>
    </row>
    <row r="107" spans="1:17" x14ac:dyDescent="0.4">
      <c r="C107" s="6" t="s">
        <v>125</v>
      </c>
      <c r="H107" s="7" t="s">
        <v>126</v>
      </c>
    </row>
    <row r="108" spans="1:17" x14ac:dyDescent="0.4">
      <c r="C108" s="35"/>
      <c r="H108" s="7" t="s">
        <v>127</v>
      </c>
    </row>
    <row r="109" spans="1:17" x14ac:dyDescent="0.4">
      <c r="C109" s="6" t="s">
        <v>290</v>
      </c>
      <c r="H109" s="7" t="s">
        <v>291</v>
      </c>
    </row>
    <row r="110" spans="1:17" x14ac:dyDescent="0.4">
      <c r="C110" s="35"/>
      <c r="H110" s="34"/>
    </row>
    <row r="111" spans="1:17" x14ac:dyDescent="0.4">
      <c r="B111" s="4" t="s">
        <v>129</v>
      </c>
      <c r="C111" s="35"/>
      <c r="H111" s="34"/>
    </row>
    <row r="112" spans="1:17" x14ac:dyDescent="0.4">
      <c r="C112" s="6" t="s">
        <v>133</v>
      </c>
      <c r="H112" s="7" t="s">
        <v>135</v>
      </c>
    </row>
    <row r="113" spans="1:17" x14ac:dyDescent="0.4">
      <c r="C113" s="35"/>
      <c r="H113" s="7" t="s">
        <v>136</v>
      </c>
    </row>
    <row r="114" spans="1:17" x14ac:dyDescent="0.4">
      <c r="C114" s="35"/>
      <c r="H114" s="7"/>
    </row>
    <row r="115" spans="1:17" ht="15" thickBot="1" x14ac:dyDescent="0.45">
      <c r="A115" s="32"/>
      <c r="B115" s="32"/>
      <c r="C115" s="32"/>
      <c r="D115" s="32"/>
      <c r="E115" s="32"/>
      <c r="F115" s="32"/>
      <c r="G115" s="32"/>
      <c r="H115" s="32"/>
      <c r="I115" s="32"/>
      <c r="J115" s="32"/>
      <c r="K115" s="32"/>
      <c r="L115" s="32"/>
      <c r="M115" s="32"/>
      <c r="N115" s="32"/>
      <c r="O115" s="32"/>
      <c r="P115" s="32"/>
      <c r="Q115" s="32"/>
    </row>
    <row r="116" spans="1:17" ht="15" thickTop="1" x14ac:dyDescent="0.4">
      <c r="B116" s="25" t="s">
        <v>141</v>
      </c>
      <c r="C116" s="14"/>
      <c r="D116" s="14"/>
      <c r="E116" s="14"/>
      <c r="F116" s="14"/>
      <c r="G116" s="14"/>
      <c r="H116" s="14"/>
      <c r="I116" s="14"/>
      <c r="J116" s="14"/>
      <c r="K116" s="14"/>
      <c r="L116" s="14"/>
      <c r="M116" s="14"/>
      <c r="N116" s="14"/>
      <c r="O116" s="14"/>
      <c r="P116" s="14"/>
      <c r="Q116" s="14"/>
    </row>
    <row r="117" spans="1:17" x14ac:dyDescent="0.4">
      <c r="B117" s="4" t="s">
        <v>90</v>
      </c>
      <c r="C117" s="35"/>
      <c r="H117" s="34"/>
    </row>
    <row r="118" spans="1:17" x14ac:dyDescent="0.4">
      <c r="C118" s="29" t="s">
        <v>142</v>
      </c>
      <c r="H118" s="7" t="s">
        <v>143</v>
      </c>
    </row>
    <row r="119" spans="1:17" x14ac:dyDescent="0.4">
      <c r="C119" s="6" t="s">
        <v>145</v>
      </c>
      <c r="H119" s="7" t="s">
        <v>146</v>
      </c>
    </row>
    <row r="120" spans="1:17" x14ac:dyDescent="0.4">
      <c r="C120" s="6" t="s">
        <v>149</v>
      </c>
      <c r="H120" s="7" t="s">
        <v>150</v>
      </c>
    </row>
    <row r="121" spans="1:17" x14ac:dyDescent="0.4">
      <c r="C121" s="6" t="s">
        <v>151</v>
      </c>
    </row>
    <row r="122" spans="1:17" x14ac:dyDescent="0.4">
      <c r="C122" s="6" t="s">
        <v>182</v>
      </c>
      <c r="H122" s="7" t="s">
        <v>163</v>
      </c>
    </row>
    <row r="123" spans="1:17" x14ac:dyDescent="0.4">
      <c r="C123" s="6"/>
      <c r="H123" s="7"/>
    </row>
    <row r="124" spans="1:17" x14ac:dyDescent="0.4">
      <c r="B124" s="4" t="s">
        <v>66</v>
      </c>
      <c r="C124" s="35"/>
      <c r="H124" s="7"/>
    </row>
    <row r="125" spans="1:17" x14ac:dyDescent="0.4">
      <c r="C125" s="6" t="s">
        <v>147</v>
      </c>
      <c r="H125" s="7" t="s">
        <v>214</v>
      </c>
    </row>
    <row r="126" spans="1:17" x14ac:dyDescent="0.4">
      <c r="C126" s="35"/>
      <c r="H126" s="7" t="s">
        <v>148</v>
      </c>
    </row>
    <row r="127" spans="1:17" x14ac:dyDescent="0.4">
      <c r="C127" s="6" t="s">
        <v>211</v>
      </c>
      <c r="H127" s="7" t="s">
        <v>212</v>
      </c>
    </row>
    <row r="128" spans="1:17" x14ac:dyDescent="0.4">
      <c r="C128" s="35"/>
      <c r="H128" s="7"/>
    </row>
    <row r="129" spans="1:17" ht="15" thickBot="1" x14ac:dyDescent="0.45">
      <c r="A129" s="32"/>
      <c r="B129" s="32"/>
      <c r="C129" s="32"/>
      <c r="D129" s="32"/>
      <c r="E129" s="32"/>
      <c r="F129" s="32"/>
      <c r="G129" s="32"/>
      <c r="H129" s="32"/>
      <c r="I129" s="32"/>
      <c r="J129" s="32"/>
      <c r="K129" s="32"/>
      <c r="L129" s="32"/>
      <c r="M129" s="32"/>
      <c r="N129" s="32"/>
      <c r="O129" s="32"/>
      <c r="P129" s="32"/>
      <c r="Q129" s="32"/>
    </row>
    <row r="130" spans="1:17" ht="15" thickTop="1" x14ac:dyDescent="0.4">
      <c r="B130" s="25" t="s">
        <v>152</v>
      </c>
      <c r="C130" s="14"/>
      <c r="D130" s="14"/>
      <c r="E130" s="14"/>
      <c r="F130" s="14"/>
      <c r="G130" s="14"/>
      <c r="H130" s="14"/>
      <c r="I130" s="14"/>
      <c r="J130" s="14"/>
      <c r="K130" s="14"/>
      <c r="L130" s="14"/>
      <c r="M130" s="14"/>
      <c r="N130" s="14"/>
      <c r="O130" s="14"/>
      <c r="P130" s="14"/>
      <c r="Q130" s="14"/>
    </row>
    <row r="131" spans="1:17" x14ac:dyDescent="0.4">
      <c r="B131" s="4" t="s">
        <v>153</v>
      </c>
      <c r="C131" s="35"/>
      <c r="H131" s="7"/>
    </row>
    <row r="132" spans="1:17" x14ac:dyDescent="0.4">
      <c r="C132" s="6" t="s">
        <v>154</v>
      </c>
      <c r="H132" s="7" t="s">
        <v>155</v>
      </c>
    </row>
    <row r="133" spans="1:17" x14ac:dyDescent="0.4">
      <c r="C133" s="35"/>
      <c r="H133" s="7"/>
    </row>
    <row r="134" spans="1:17" x14ac:dyDescent="0.4">
      <c r="B134" s="4" t="s">
        <v>90</v>
      </c>
      <c r="C134" s="35"/>
      <c r="H134" s="7"/>
    </row>
    <row r="135" spans="1:17" x14ac:dyDescent="0.4">
      <c r="C135" s="6" t="s">
        <v>157</v>
      </c>
      <c r="H135" s="7" t="s">
        <v>156</v>
      </c>
    </row>
    <row r="136" spans="1:17" x14ac:dyDescent="0.4">
      <c r="C136" s="6" t="s">
        <v>160</v>
      </c>
      <c r="H136" s="7" t="s">
        <v>161</v>
      </c>
    </row>
    <row r="137" spans="1:17" x14ac:dyDescent="0.4">
      <c r="C137" s="6" t="s">
        <v>184</v>
      </c>
      <c r="H137" s="7" t="s">
        <v>185</v>
      </c>
    </row>
    <row r="138" spans="1:17" x14ac:dyDescent="0.4">
      <c r="C138" s="35"/>
      <c r="H138" s="7"/>
    </row>
    <row r="142" spans="1:17" s="8" customFormat="1" ht="3.75" customHeight="1" x14ac:dyDescent="0.4"/>
    <row r="143" spans="1:17" x14ac:dyDescent="0.4">
      <c r="B143" s="9" t="s">
        <v>17</v>
      </c>
    </row>
    <row r="146" spans="2:2" x14ac:dyDescent="0.4">
      <c r="B146" s="6" t="s">
        <v>26</v>
      </c>
    </row>
    <row r="147" spans="2:2" x14ac:dyDescent="0.4">
      <c r="B147" s="6" t="s">
        <v>16</v>
      </c>
    </row>
    <row r="148" spans="2:2" x14ac:dyDescent="0.4">
      <c r="B148" s="6" t="s">
        <v>18</v>
      </c>
    </row>
  </sheetData>
  <hyperlinks>
    <hyperlink ref="C16" r:id="rId1" display="Senoko Power Station, Wikipedia"/>
    <hyperlink ref="C11" r:id="rId2"/>
    <hyperlink ref="B147" r:id="rId3"/>
    <hyperlink ref="B148" r:id="rId4"/>
    <hyperlink ref="C17" r:id="rId5"/>
    <hyperlink ref="C7" r:id="rId6"/>
    <hyperlink ref="B146" r:id="rId7"/>
    <hyperlink ref="C22" r:id="rId8"/>
    <hyperlink ref="C30" r:id="rId9" display="Unveil of 800MW Co-Gen"/>
    <hyperlink ref="C25" r:id="rId10"/>
    <hyperlink ref="C34" r:id="rId11"/>
    <hyperlink ref="C37" r:id="rId12"/>
    <hyperlink ref="C46" r:id="rId13"/>
    <hyperlink ref="C52" r:id="rId14"/>
    <hyperlink ref="C57" r:id="rId15"/>
    <hyperlink ref="C54" r:id="rId16"/>
    <hyperlink ref="J17" r:id="rId17"/>
    <hyperlink ref="C64" r:id="rId18"/>
    <hyperlink ref="C71" r:id="rId19" display="ST -- Sembcorp opens $635 million co-gen plant in Jurong Island"/>
    <hyperlink ref="C77" r:id="rId20"/>
    <hyperlink ref="C83" r:id="rId21"/>
    <hyperlink ref="C86" r:id="rId22"/>
    <hyperlink ref="C92" r:id="rId23"/>
    <hyperlink ref="C102" r:id="rId24"/>
    <hyperlink ref="C100" r:id="rId25" display="All refuse disposal facilities"/>
    <hyperlink ref="C103" r:id="rId26"/>
    <hyperlink ref="C107" r:id="rId27"/>
    <hyperlink ref="C112" r:id="rId28"/>
    <hyperlink ref="C118" r:id="rId29" display="SG's first coal plant"/>
    <hyperlink ref="C119" r:id="rId30"/>
    <hyperlink ref="C125" r:id="rId31"/>
    <hyperlink ref="C120" r:id="rId32"/>
    <hyperlink ref="C121" r:id="rId33"/>
    <hyperlink ref="C135" r:id="rId34"/>
    <hyperlink ref="C136" r:id="rId35"/>
    <hyperlink ref="C59" r:id="rId36"/>
    <hyperlink ref="C122" r:id="rId37" display="TMUC inaugurational speech"/>
    <hyperlink ref="C132" r:id="rId38"/>
    <hyperlink ref="C137" r:id="rId39" location="cna"/>
    <hyperlink ref="C72" r:id="rId40"/>
    <hyperlink ref="C127" r:id="rId41"/>
    <hyperlink ref="C101" r:id="rId42"/>
    <hyperlink ref="C109" r:id="rId43"/>
  </hyperlinks>
  <pageMargins left="0.7" right="0.7" top="0.75" bottom="0.75" header="0.3" footer="0.3"/>
  <pageSetup orientation="portrait" horizontalDpi="300" verticalDpi="300" r:id="rId44"/>
  <legacyDrawing r:id="rId4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R33"/>
  <sheetViews>
    <sheetView workbookViewId="0">
      <selection activeCell="I15" sqref="I15"/>
    </sheetView>
  </sheetViews>
  <sheetFormatPr defaultRowHeight="14.6" x14ac:dyDescent="0.4"/>
  <cols>
    <col min="6" max="6" width="12.15234375" bestFit="1" customWidth="1"/>
  </cols>
  <sheetData>
    <row r="1" spans="2:18" ht="18.45" x14ac:dyDescent="0.5">
      <c r="C1" s="176" t="s">
        <v>293</v>
      </c>
    </row>
    <row r="2" spans="2:18" x14ac:dyDescent="0.4">
      <c r="E2" s="109" t="s">
        <v>4</v>
      </c>
      <c r="F2" s="109" t="s">
        <v>298</v>
      </c>
      <c r="G2" s="109" t="s">
        <v>299</v>
      </c>
      <c r="H2" s="109" t="s">
        <v>296</v>
      </c>
      <c r="I2" s="109" t="s">
        <v>297</v>
      </c>
    </row>
    <row r="3" spans="2:18" x14ac:dyDescent="0.4">
      <c r="E3" t="s">
        <v>294</v>
      </c>
      <c r="F3">
        <v>52.21</v>
      </c>
      <c r="G3">
        <v>47.13</v>
      </c>
      <c r="H3">
        <f>F3/G3</f>
        <v>1.1077869722045406</v>
      </c>
      <c r="I3" s="182">
        <f>(F3-G3)/F3</f>
        <v>9.7299367937176751E-2</v>
      </c>
    </row>
    <row r="4" spans="2:18" x14ac:dyDescent="0.4">
      <c r="E4" s="177" t="s">
        <v>300</v>
      </c>
      <c r="F4">
        <v>27.26</v>
      </c>
      <c r="G4">
        <v>26.12</v>
      </c>
      <c r="H4">
        <f>F4/G4</f>
        <v>1.0436447166921898</v>
      </c>
      <c r="I4" s="182">
        <f>(F4-G4)/F4</f>
        <v>4.1819515774027899E-2</v>
      </c>
    </row>
    <row r="5" spans="2:18" x14ac:dyDescent="0.4">
      <c r="E5" t="s">
        <v>295</v>
      </c>
      <c r="F5">
        <v>42.2</v>
      </c>
      <c r="G5">
        <v>39.5</v>
      </c>
      <c r="H5">
        <f>F5/G5</f>
        <v>1.068354430379747</v>
      </c>
      <c r="I5" s="182">
        <f>(F5-G5)/F5</f>
        <v>6.39810426540285E-2</v>
      </c>
    </row>
    <row r="6" spans="2:18" x14ac:dyDescent="0.4">
      <c r="C6" s="109"/>
    </row>
    <row r="7" spans="2:18" s="123" customFormat="1" ht="15" thickBot="1" x14ac:dyDescent="0.45"/>
    <row r="8" spans="2:18" ht="15" thickTop="1" x14ac:dyDescent="0.4"/>
    <row r="9" spans="2:18" x14ac:dyDescent="0.4">
      <c r="B9" s="181" t="s">
        <v>311</v>
      </c>
    </row>
    <row r="10" spans="2:18" x14ac:dyDescent="0.4">
      <c r="B10" s="181" t="s">
        <v>312</v>
      </c>
    </row>
    <row r="12" spans="2:18" x14ac:dyDescent="0.4">
      <c r="D12" s="179" t="s">
        <v>319</v>
      </c>
    </row>
    <row r="13" spans="2:18" x14ac:dyDescent="0.4">
      <c r="B13" s="183" t="s">
        <v>321</v>
      </c>
      <c r="F13" s="177" t="s">
        <v>302</v>
      </c>
      <c r="I13" s="2" t="s">
        <v>314</v>
      </c>
    </row>
    <row r="14" spans="2:18" x14ac:dyDescent="0.4">
      <c r="B14" s="183" t="s">
        <v>321</v>
      </c>
      <c r="C14" s="177"/>
      <c r="F14" s="177" t="s">
        <v>306</v>
      </c>
      <c r="I14" s="2" t="s">
        <v>315</v>
      </c>
      <c r="R14" s="181" t="s">
        <v>324</v>
      </c>
    </row>
    <row r="15" spans="2:18" x14ac:dyDescent="0.4">
      <c r="C15" s="177"/>
      <c r="F15" s="180" t="s">
        <v>307</v>
      </c>
      <c r="I15" s="2" t="s">
        <v>313</v>
      </c>
    </row>
    <row r="16" spans="2:18" x14ac:dyDescent="0.4">
      <c r="C16" s="177"/>
    </row>
    <row r="18" spans="2:9" x14ac:dyDescent="0.4">
      <c r="D18" s="178" t="s">
        <v>301</v>
      </c>
    </row>
    <row r="19" spans="2:9" x14ac:dyDescent="0.4">
      <c r="C19" s="177"/>
      <c r="F19" s="177" t="s">
        <v>303</v>
      </c>
    </row>
    <row r="20" spans="2:9" x14ac:dyDescent="0.4">
      <c r="F20" s="177" t="s">
        <v>304</v>
      </c>
    </row>
    <row r="23" spans="2:9" x14ac:dyDescent="0.4">
      <c r="D23" s="179" t="s">
        <v>320</v>
      </c>
      <c r="I23" s="2" t="s">
        <v>318</v>
      </c>
    </row>
    <row r="24" spans="2:9" x14ac:dyDescent="0.4">
      <c r="B24" s="183" t="s">
        <v>322</v>
      </c>
      <c r="F24" s="177" t="s">
        <v>308</v>
      </c>
    </row>
    <row r="25" spans="2:9" x14ac:dyDescent="0.4">
      <c r="B25" s="183" t="s">
        <v>322</v>
      </c>
      <c r="F25" s="177" t="s">
        <v>309</v>
      </c>
    </row>
    <row r="26" spans="2:9" x14ac:dyDescent="0.4">
      <c r="B26" s="183" t="s">
        <v>323</v>
      </c>
      <c r="F26" s="177" t="s">
        <v>310</v>
      </c>
    </row>
    <row r="28" spans="2:9" x14ac:dyDescent="0.4">
      <c r="D28" s="179" t="s">
        <v>305</v>
      </c>
    </row>
    <row r="29" spans="2:9" x14ac:dyDescent="0.4">
      <c r="F29" s="177" t="s">
        <v>316</v>
      </c>
      <c r="I29" s="2" t="s">
        <v>317</v>
      </c>
    </row>
    <row r="30" spans="2:9" x14ac:dyDescent="0.4">
      <c r="F30" s="177"/>
    </row>
    <row r="33" spans="7:7" x14ac:dyDescent="0.4">
      <c r="G33" s="184" t="s">
        <v>325</v>
      </c>
    </row>
  </sheetData>
  <hyperlinks>
    <hyperlink ref="B10" r:id="rId1"/>
    <hyperlink ref="B9" r:id="rId2"/>
    <hyperlink ref="R14" r:id="rId3"/>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Stations</vt:lpstr>
      <vt:lpstr>Plant Parameters</vt:lpstr>
      <vt:lpstr>Random Seeds</vt:lpstr>
      <vt:lpstr>Param Est</vt:lpstr>
      <vt:lpstr>SG PP References</vt:lpstr>
      <vt:lpstr>Cooling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dkayanan</dc:creator>
  <cp:lastModifiedBy>Pang Teng Seng</cp:lastModifiedBy>
  <dcterms:created xsi:type="dcterms:W3CDTF">2019-07-09T01:54:18Z</dcterms:created>
  <dcterms:modified xsi:type="dcterms:W3CDTF">2022-03-10T07:39:50Z</dcterms:modified>
</cp:coreProperties>
</file>