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kita\Documents\Notebook\"/>
    </mc:Choice>
  </mc:AlternateContent>
  <xr:revisionPtr revIDLastSave="0" documentId="13_ncr:1_{660D5CC3-08DE-434B-8E24-FC1624D3D25B}" xr6:coauthVersionLast="47" xr6:coauthVersionMax="47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Income Statement" sheetId="1" r:id="rId1"/>
    <sheet name="Balance Sheet" sheetId="2" r:id="rId2"/>
    <sheet name="Cash Flow Statements" sheetId="3" r:id="rId3"/>
    <sheet name="Projected Free Cash Flow" sheetId="4" r:id="rId4"/>
    <sheet name="Projected Fixed Assets" sheetId="5" r:id="rId5"/>
    <sheet name="Projected Net Working Capital" sheetId="6" r:id="rId6"/>
    <sheet name="DCF" sheetId="7" r:id="rId7"/>
    <sheet name="WAC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7" l="1"/>
  <c r="E12" i="7"/>
  <c r="E13" i="7"/>
  <c r="E16" i="7"/>
  <c r="E15" i="7"/>
  <c r="F11" i="7"/>
  <c r="G11" i="7"/>
  <c r="J11" i="7"/>
  <c r="I11" i="7"/>
  <c r="B16" i="7"/>
  <c r="B15" i="7"/>
  <c r="B12" i="7"/>
  <c r="B13" i="7" s="1"/>
  <c r="N6" i="7"/>
  <c r="B9" i="7" s="1"/>
  <c r="O6" i="7"/>
  <c r="P6" i="7"/>
  <c r="Q6" i="7"/>
  <c r="M6" i="7"/>
  <c r="B17" i="8"/>
  <c r="B7" i="8"/>
  <c r="B15" i="8"/>
  <c r="B14" i="8"/>
  <c r="B12" i="8"/>
  <c r="Q3" i="7"/>
  <c r="D3" i="7"/>
  <c r="E3" i="7"/>
  <c r="F3" i="7"/>
  <c r="G3" i="7"/>
  <c r="H3" i="7"/>
  <c r="I3" i="7"/>
  <c r="J3" i="7"/>
  <c r="K3" i="7"/>
  <c r="L3" i="7"/>
  <c r="M3" i="7"/>
  <c r="N3" i="7"/>
  <c r="O3" i="7"/>
  <c r="P3" i="7"/>
  <c r="C3" i="7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B20" i="4"/>
  <c r="L16" i="4"/>
  <c r="M16" i="4"/>
  <c r="N16" i="4"/>
  <c r="O16" i="4"/>
  <c r="P16" i="4"/>
  <c r="L17" i="4"/>
  <c r="M17" i="4"/>
  <c r="N17" i="4"/>
  <c r="O17" i="4"/>
  <c r="P17" i="4"/>
  <c r="M19" i="4"/>
  <c r="N19" i="4"/>
  <c r="O19" i="4"/>
  <c r="P19" i="4"/>
  <c r="L19" i="4"/>
  <c r="M18" i="4"/>
  <c r="N18" i="4"/>
  <c r="O18" i="4"/>
  <c r="P18" i="4"/>
  <c r="L18" i="4"/>
  <c r="M11" i="6"/>
  <c r="N11" i="6"/>
  <c r="O11" i="6"/>
  <c r="P11" i="6"/>
  <c r="L11" i="6"/>
  <c r="M10" i="6"/>
  <c r="N10" i="6"/>
  <c r="O10" i="6"/>
  <c r="P10" i="6"/>
  <c r="L10" i="6"/>
  <c r="M9" i="6"/>
  <c r="N9" i="6"/>
  <c r="O9" i="6"/>
  <c r="P9" i="6"/>
  <c r="L9" i="6"/>
  <c r="M5" i="6"/>
  <c r="N5" i="6"/>
  <c r="O5" i="6"/>
  <c r="P5" i="6"/>
  <c r="L5" i="6"/>
  <c r="N23" i="6"/>
  <c r="O23" i="6" s="1"/>
  <c r="P23" i="6" s="1"/>
  <c r="N24" i="6"/>
  <c r="O24" i="6"/>
  <c r="P24" i="6"/>
  <c r="N25" i="6"/>
  <c r="O25" i="6"/>
  <c r="P25" i="6"/>
  <c r="N26" i="6"/>
  <c r="O26" i="6" s="1"/>
  <c r="P26" i="6" s="1"/>
  <c r="M26" i="6"/>
  <c r="M25" i="6"/>
  <c r="M24" i="6"/>
  <c r="L25" i="6"/>
  <c r="L26" i="6"/>
  <c r="L24" i="6"/>
  <c r="M23" i="6"/>
  <c r="L23" i="6"/>
  <c r="C24" i="6"/>
  <c r="D24" i="6"/>
  <c r="E24" i="6"/>
  <c r="F24" i="6"/>
  <c r="G24" i="6"/>
  <c r="H24" i="6"/>
  <c r="I24" i="6"/>
  <c r="J24" i="6"/>
  <c r="K24" i="6"/>
  <c r="C25" i="6"/>
  <c r="D25" i="6"/>
  <c r="E25" i="6"/>
  <c r="F25" i="6"/>
  <c r="G25" i="6"/>
  <c r="H25" i="6"/>
  <c r="I25" i="6"/>
  <c r="J25" i="6"/>
  <c r="K25" i="6"/>
  <c r="C26" i="6"/>
  <c r="D26" i="6"/>
  <c r="E26" i="6"/>
  <c r="F26" i="6"/>
  <c r="G26" i="6"/>
  <c r="H26" i="6"/>
  <c r="I26" i="6"/>
  <c r="J26" i="6"/>
  <c r="K26" i="6"/>
  <c r="B26" i="6"/>
  <c r="B25" i="6"/>
  <c r="B23" i="6"/>
  <c r="M17" i="6"/>
  <c r="N17" i="6"/>
  <c r="O17" i="6"/>
  <c r="P17" i="6"/>
  <c r="L17" i="6"/>
  <c r="N16" i="6"/>
  <c r="O16" i="6"/>
  <c r="P16" i="6"/>
  <c r="M16" i="6"/>
  <c r="L16" i="6"/>
  <c r="L3" i="4"/>
  <c r="F19" i="6"/>
  <c r="F20" i="6"/>
  <c r="C21" i="6"/>
  <c r="D21" i="6"/>
  <c r="E21" i="6"/>
  <c r="F21" i="6"/>
  <c r="I21" i="6"/>
  <c r="K17" i="6"/>
  <c r="J17" i="6"/>
  <c r="I17" i="6"/>
  <c r="H17" i="6"/>
  <c r="G17" i="6"/>
  <c r="F17" i="6"/>
  <c r="E17" i="6"/>
  <c r="D17" i="6"/>
  <c r="C17" i="6"/>
  <c r="B17" i="6"/>
  <c r="K16" i="6"/>
  <c r="K20" i="6" s="1"/>
  <c r="J16" i="6"/>
  <c r="J20" i="6" s="1"/>
  <c r="I16" i="6"/>
  <c r="I20" i="6" s="1"/>
  <c r="H16" i="6"/>
  <c r="H20" i="6" s="1"/>
  <c r="G16" i="6"/>
  <c r="G20" i="6" s="1"/>
  <c r="F16" i="6"/>
  <c r="E16" i="6"/>
  <c r="D16" i="6"/>
  <c r="C16" i="6"/>
  <c r="B16" i="6"/>
  <c r="B19" i="6" s="1"/>
  <c r="K10" i="6"/>
  <c r="J10" i="6"/>
  <c r="I10" i="6"/>
  <c r="H10" i="6"/>
  <c r="G10" i="6"/>
  <c r="F10" i="6"/>
  <c r="E10" i="6"/>
  <c r="D10" i="6"/>
  <c r="C10" i="6"/>
  <c r="B10" i="6"/>
  <c r="K9" i="6"/>
  <c r="J9" i="6"/>
  <c r="I9" i="6"/>
  <c r="H9" i="6"/>
  <c r="G9" i="6"/>
  <c r="F9" i="6"/>
  <c r="E9" i="6"/>
  <c r="D9" i="6"/>
  <c r="C9" i="6"/>
  <c r="B9" i="6"/>
  <c r="B24" i="6" s="1"/>
  <c r="K11" i="6"/>
  <c r="J11" i="6"/>
  <c r="I11" i="6"/>
  <c r="H11" i="6"/>
  <c r="G11" i="6"/>
  <c r="F11" i="6"/>
  <c r="E11" i="6"/>
  <c r="D11" i="6"/>
  <c r="C11" i="6"/>
  <c r="B11" i="6"/>
  <c r="K8" i="6"/>
  <c r="K21" i="6" s="1"/>
  <c r="J8" i="6"/>
  <c r="J21" i="6" s="1"/>
  <c r="I8" i="6"/>
  <c r="H8" i="6"/>
  <c r="G8" i="6"/>
  <c r="F8" i="6"/>
  <c r="E8" i="6"/>
  <c r="D8" i="6"/>
  <c r="C8" i="6"/>
  <c r="B8" i="6"/>
  <c r="B21" i="6" s="1"/>
  <c r="K5" i="6"/>
  <c r="K23" i="6" s="1"/>
  <c r="J5" i="6"/>
  <c r="J23" i="6" s="1"/>
  <c r="I5" i="6"/>
  <c r="I23" i="6" s="1"/>
  <c r="H5" i="6"/>
  <c r="H23" i="6" s="1"/>
  <c r="G5" i="6"/>
  <c r="G23" i="6" s="1"/>
  <c r="F5" i="6"/>
  <c r="F23" i="6" s="1"/>
  <c r="E5" i="6"/>
  <c r="E23" i="6" s="1"/>
  <c r="D5" i="6"/>
  <c r="D23" i="6" s="1"/>
  <c r="C5" i="6"/>
  <c r="C23" i="6" s="1"/>
  <c r="B5" i="6"/>
  <c r="K4" i="6"/>
  <c r="J4" i="6"/>
  <c r="I4" i="6"/>
  <c r="H4" i="6"/>
  <c r="G4" i="6"/>
  <c r="F4" i="6"/>
  <c r="E4" i="6"/>
  <c r="E20" i="6" s="1"/>
  <c r="D4" i="6"/>
  <c r="D20" i="6" s="1"/>
  <c r="C4" i="6"/>
  <c r="C20" i="6" s="1"/>
  <c r="B4" i="6"/>
  <c r="B20" i="6" s="1"/>
  <c r="K3" i="6"/>
  <c r="K19" i="6" s="1"/>
  <c r="J3" i="6"/>
  <c r="J19" i="6" s="1"/>
  <c r="I3" i="6"/>
  <c r="I19" i="6" s="1"/>
  <c r="H3" i="6"/>
  <c r="H19" i="6" s="1"/>
  <c r="G3" i="6"/>
  <c r="F3" i="6"/>
  <c r="E3" i="6"/>
  <c r="E19" i="6" s="1"/>
  <c r="D3" i="6"/>
  <c r="D19" i="6" s="1"/>
  <c r="C3" i="6"/>
  <c r="C19" i="6" s="1"/>
  <c r="B3" i="6"/>
  <c r="K4" i="5"/>
  <c r="J4" i="5"/>
  <c r="I4" i="5"/>
  <c r="H4" i="5"/>
  <c r="G4" i="5"/>
  <c r="F4" i="5"/>
  <c r="E4" i="5"/>
  <c r="D4" i="5"/>
  <c r="C4" i="5"/>
  <c r="B4" i="5"/>
  <c r="K6" i="5"/>
  <c r="L3" i="5" s="1"/>
  <c r="J6" i="5"/>
  <c r="K3" i="5" s="1"/>
  <c r="I6" i="5"/>
  <c r="H6" i="5"/>
  <c r="G6" i="5"/>
  <c r="F6" i="5"/>
  <c r="E6" i="5"/>
  <c r="D6" i="5"/>
  <c r="C6" i="5"/>
  <c r="B6" i="5"/>
  <c r="C3" i="5" s="1"/>
  <c r="M9" i="4"/>
  <c r="N9" i="4"/>
  <c r="O9" i="4"/>
  <c r="P9" i="4"/>
  <c r="L9" i="4"/>
  <c r="M8" i="4"/>
  <c r="N8" i="4"/>
  <c r="O8" i="4"/>
  <c r="P8" i="4"/>
  <c r="L8" i="4"/>
  <c r="M7" i="4"/>
  <c r="N7" i="4"/>
  <c r="O7" i="4"/>
  <c r="P7" i="4"/>
  <c r="L7" i="4"/>
  <c r="M5" i="4"/>
  <c r="N5" i="4"/>
  <c r="O5" i="4"/>
  <c r="P5" i="4"/>
  <c r="L5" i="4"/>
  <c r="M4" i="4"/>
  <c r="N4" i="4"/>
  <c r="O4" i="4"/>
  <c r="P4" i="4"/>
  <c r="L4" i="4"/>
  <c r="M3" i="4"/>
  <c r="N3" i="4"/>
  <c r="O3" i="4"/>
  <c r="P3" i="4"/>
  <c r="L31" i="4"/>
  <c r="D31" i="4"/>
  <c r="E31" i="4"/>
  <c r="F31" i="4"/>
  <c r="G31" i="4"/>
  <c r="H31" i="4"/>
  <c r="I31" i="4"/>
  <c r="J31" i="4"/>
  <c r="K31" i="4"/>
  <c r="C31" i="4"/>
  <c r="M27" i="4"/>
  <c r="N27" i="4" s="1"/>
  <c r="O27" i="4" s="1"/>
  <c r="P27" i="4" s="1"/>
  <c r="M28" i="4"/>
  <c r="N28" i="4"/>
  <c r="O28" i="4"/>
  <c r="P28" i="4"/>
  <c r="N26" i="4"/>
  <c r="O26" i="4" s="1"/>
  <c r="P26" i="4" s="1"/>
  <c r="M26" i="4"/>
  <c r="L27" i="4"/>
  <c r="L28" i="4"/>
  <c r="L26" i="4"/>
  <c r="C28" i="4"/>
  <c r="D28" i="4"/>
  <c r="E28" i="4"/>
  <c r="F28" i="4"/>
  <c r="G28" i="4"/>
  <c r="H28" i="4"/>
  <c r="I28" i="4"/>
  <c r="J28" i="4"/>
  <c r="K28" i="4"/>
  <c r="B28" i="4"/>
  <c r="C27" i="4"/>
  <c r="D27" i="4"/>
  <c r="E27" i="4"/>
  <c r="F27" i="4"/>
  <c r="G27" i="4"/>
  <c r="H27" i="4"/>
  <c r="I27" i="4"/>
  <c r="J27" i="4"/>
  <c r="K27" i="4"/>
  <c r="B27" i="4"/>
  <c r="C26" i="4"/>
  <c r="D26" i="4"/>
  <c r="E26" i="4"/>
  <c r="F26" i="4"/>
  <c r="G26" i="4"/>
  <c r="H26" i="4"/>
  <c r="I26" i="4"/>
  <c r="J26" i="4"/>
  <c r="K26" i="4"/>
  <c r="B26" i="4"/>
  <c r="D24" i="4"/>
  <c r="E24" i="4"/>
  <c r="F24" i="4"/>
  <c r="G24" i="4"/>
  <c r="H24" i="4"/>
  <c r="I24" i="4"/>
  <c r="J24" i="4"/>
  <c r="K24" i="4"/>
  <c r="C24" i="4"/>
  <c r="K19" i="4"/>
  <c r="J19" i="4"/>
  <c r="I19" i="4"/>
  <c r="H19" i="4"/>
  <c r="G19" i="4"/>
  <c r="F19" i="4"/>
  <c r="E19" i="4"/>
  <c r="D19" i="4"/>
  <c r="C19" i="4"/>
  <c r="B19" i="4"/>
  <c r="K18" i="4"/>
  <c r="J18" i="4"/>
  <c r="I18" i="4"/>
  <c r="H18" i="4"/>
  <c r="G18" i="4"/>
  <c r="F18" i="4"/>
  <c r="E18" i="4"/>
  <c r="D18" i="4"/>
  <c r="C18" i="4"/>
  <c r="B18" i="4"/>
  <c r="K15" i="4"/>
  <c r="J15" i="4"/>
  <c r="I15" i="4"/>
  <c r="H15" i="4"/>
  <c r="G15" i="4"/>
  <c r="F15" i="4"/>
  <c r="E15" i="4"/>
  <c r="D15" i="4"/>
  <c r="C15" i="4"/>
  <c r="B15" i="4"/>
  <c r="C14" i="4"/>
  <c r="D14" i="4"/>
  <c r="E14" i="4"/>
  <c r="F14" i="4"/>
  <c r="G14" i="4"/>
  <c r="H14" i="4"/>
  <c r="I14" i="4"/>
  <c r="J14" i="4"/>
  <c r="K14" i="4"/>
  <c r="B14" i="4"/>
  <c r="C13" i="4"/>
  <c r="D13" i="4"/>
  <c r="E13" i="4"/>
  <c r="F13" i="4"/>
  <c r="G13" i="4"/>
  <c r="H13" i="4"/>
  <c r="I13" i="4"/>
  <c r="J13" i="4"/>
  <c r="K13" i="4"/>
  <c r="B13" i="4"/>
  <c r="K12" i="4"/>
  <c r="J12" i="4"/>
  <c r="I12" i="4"/>
  <c r="H12" i="4"/>
  <c r="G12" i="4"/>
  <c r="F12" i="4"/>
  <c r="E12" i="4"/>
  <c r="D12" i="4"/>
  <c r="C12" i="4"/>
  <c r="B12" i="4"/>
  <c r="C11" i="4"/>
  <c r="D11" i="4"/>
  <c r="E11" i="4"/>
  <c r="F11" i="4"/>
  <c r="G11" i="4"/>
  <c r="H11" i="4"/>
  <c r="I11" i="4"/>
  <c r="J11" i="4"/>
  <c r="K11" i="4"/>
  <c r="B11" i="4"/>
  <c r="K10" i="4"/>
  <c r="J10" i="4"/>
  <c r="I10" i="4"/>
  <c r="H10" i="4"/>
  <c r="G10" i="4"/>
  <c r="F10" i="4"/>
  <c r="E10" i="4"/>
  <c r="D10" i="4"/>
  <c r="C10" i="4"/>
  <c r="B10" i="4"/>
  <c r="J8" i="4"/>
  <c r="I8" i="4"/>
  <c r="H8" i="4"/>
  <c r="C9" i="4"/>
  <c r="D9" i="4"/>
  <c r="E9" i="4"/>
  <c r="F9" i="4"/>
  <c r="G9" i="4"/>
  <c r="H9" i="4"/>
  <c r="I9" i="4"/>
  <c r="J9" i="4"/>
  <c r="K9" i="4"/>
  <c r="B9" i="4"/>
  <c r="K8" i="4"/>
  <c r="G8" i="4"/>
  <c r="F8" i="4"/>
  <c r="E8" i="4"/>
  <c r="D8" i="4"/>
  <c r="C8" i="4"/>
  <c r="B8" i="4"/>
  <c r="K7" i="4"/>
  <c r="J7" i="4"/>
  <c r="I7" i="4"/>
  <c r="H7" i="4"/>
  <c r="G7" i="4"/>
  <c r="F7" i="4"/>
  <c r="E7" i="4"/>
  <c r="D7" i="4"/>
  <c r="C7" i="4"/>
  <c r="B7" i="4"/>
  <c r="K5" i="4"/>
  <c r="J5" i="4"/>
  <c r="I5" i="4"/>
  <c r="H5" i="4"/>
  <c r="G5" i="4"/>
  <c r="F5" i="4"/>
  <c r="E5" i="4"/>
  <c r="D5" i="4"/>
  <c r="C5" i="4"/>
  <c r="B5" i="4"/>
  <c r="K4" i="4"/>
  <c r="J4" i="4"/>
  <c r="I4" i="4"/>
  <c r="H4" i="4"/>
  <c r="G4" i="4"/>
  <c r="F4" i="4"/>
  <c r="E4" i="4"/>
  <c r="D4" i="4"/>
  <c r="C4" i="4"/>
  <c r="B4" i="4"/>
  <c r="K3" i="4"/>
  <c r="J3" i="4"/>
  <c r="I3" i="4"/>
  <c r="H3" i="4"/>
  <c r="G3" i="4"/>
  <c r="F3" i="4"/>
  <c r="E3" i="4"/>
  <c r="D3" i="4"/>
  <c r="B3" i="4"/>
  <c r="C3" i="4"/>
  <c r="A23" i="4"/>
  <c r="B14" i="7" l="1"/>
  <c r="B18" i="7" s="1"/>
  <c r="B20" i="7" s="1"/>
  <c r="E11" i="7" s="1"/>
  <c r="L20" i="6"/>
  <c r="G19" i="6"/>
  <c r="L19" i="6" s="1"/>
  <c r="H21" i="6"/>
  <c r="L21" i="6" s="1"/>
  <c r="G21" i="6"/>
  <c r="B12" i="6"/>
  <c r="I17" i="4"/>
  <c r="B17" i="4"/>
  <c r="J17" i="4"/>
  <c r="K17" i="4"/>
  <c r="K16" i="4" s="1"/>
  <c r="C17" i="4"/>
  <c r="C16" i="4" s="1"/>
  <c r="D17" i="4"/>
  <c r="D12" i="6"/>
  <c r="E12" i="6"/>
  <c r="D6" i="6"/>
  <c r="E6" i="6"/>
  <c r="G12" i="6"/>
  <c r="H6" i="6"/>
  <c r="G6" i="6"/>
  <c r="E17" i="4"/>
  <c r="E16" i="4" s="1"/>
  <c r="G17" i="4"/>
  <c r="G16" i="4" s="1"/>
  <c r="F17" i="4"/>
  <c r="F16" i="4" s="1"/>
  <c r="K6" i="6"/>
  <c r="J6" i="6"/>
  <c r="I6" i="6"/>
  <c r="C5" i="5"/>
  <c r="C11" i="5" s="1"/>
  <c r="C10" i="5"/>
  <c r="H17" i="4"/>
  <c r="I16" i="4" s="1"/>
  <c r="K5" i="5"/>
  <c r="K11" i="5" s="1"/>
  <c r="J16" i="4"/>
  <c r="K10" i="5"/>
  <c r="D5" i="5"/>
  <c r="D11" i="5" s="1"/>
  <c r="D16" i="4"/>
  <c r="I3" i="5"/>
  <c r="I10" i="5" s="1"/>
  <c r="F6" i="6"/>
  <c r="F3" i="5"/>
  <c r="F10" i="5" s="1"/>
  <c r="E3" i="5"/>
  <c r="E5" i="5" s="1"/>
  <c r="E11" i="5" s="1"/>
  <c r="I12" i="6"/>
  <c r="C6" i="6"/>
  <c r="J3" i="5"/>
  <c r="J10" i="5" s="1"/>
  <c r="H3" i="5"/>
  <c r="H10" i="5" s="1"/>
  <c r="G3" i="5"/>
  <c r="G10" i="5" s="1"/>
  <c r="H12" i="6"/>
  <c r="D3" i="5"/>
  <c r="D10" i="5" s="1"/>
  <c r="J12" i="6"/>
  <c r="B6" i="6"/>
  <c r="C12" i="6"/>
  <c r="K12" i="6"/>
  <c r="F12" i="6"/>
  <c r="L3" i="6" l="1"/>
  <c r="M19" i="6"/>
  <c r="L8" i="6"/>
  <c r="L12" i="6" s="1"/>
  <c r="M21" i="6"/>
  <c r="L4" i="6"/>
  <c r="M20" i="6"/>
  <c r="H16" i="4"/>
  <c r="E10" i="5"/>
  <c r="I5" i="5"/>
  <c r="I11" i="5" s="1"/>
  <c r="F5" i="5"/>
  <c r="F11" i="5" s="1"/>
  <c r="L10" i="5"/>
  <c r="M10" i="5" s="1"/>
  <c r="N10" i="5" s="1"/>
  <c r="O10" i="5" s="1"/>
  <c r="P10" i="5" s="1"/>
  <c r="G5" i="5"/>
  <c r="G11" i="5" s="1"/>
  <c r="J5" i="5"/>
  <c r="J11" i="5" s="1"/>
  <c r="H5" i="5"/>
  <c r="H11" i="5" s="1"/>
  <c r="M4" i="6" l="1"/>
  <c r="N20" i="6"/>
  <c r="N21" i="6"/>
  <c r="M8" i="6"/>
  <c r="M12" i="6" s="1"/>
  <c r="N19" i="6"/>
  <c r="M3" i="6"/>
  <c r="M6" i="6" s="1"/>
  <c r="L6" i="6"/>
  <c r="L11" i="5"/>
  <c r="M11" i="5" s="1"/>
  <c r="N11" i="5" s="1"/>
  <c r="O11" i="5" s="1"/>
  <c r="P11" i="5" s="1"/>
  <c r="L4" i="5"/>
  <c r="L10" i="4"/>
  <c r="L11" i="4" s="1"/>
  <c r="L14" i="4"/>
  <c r="N3" i="6" l="1"/>
  <c r="O19" i="6"/>
  <c r="O21" i="6"/>
  <c r="N8" i="6"/>
  <c r="N12" i="6" s="1"/>
  <c r="O20" i="6"/>
  <c r="N4" i="6"/>
  <c r="L5" i="5"/>
  <c r="L15" i="4" s="1"/>
  <c r="L12" i="4"/>
  <c r="L13" i="4" s="1"/>
  <c r="O4" i="6" l="1"/>
  <c r="P20" i="6"/>
  <c r="P4" i="6" s="1"/>
  <c r="O8" i="6"/>
  <c r="O12" i="6" s="1"/>
  <c r="P21" i="6"/>
  <c r="P8" i="6" s="1"/>
  <c r="P12" i="6" s="1"/>
  <c r="O3" i="6"/>
  <c r="O6" i="6" s="1"/>
  <c r="P19" i="6"/>
  <c r="P3" i="6" s="1"/>
  <c r="P6" i="6" s="1"/>
  <c r="N6" i="6"/>
  <c r="L6" i="5"/>
  <c r="M3" i="5" s="1"/>
  <c r="M4" i="5" s="1"/>
  <c r="M5" i="5" l="1"/>
  <c r="M15" i="4" s="1"/>
  <c r="M6" i="5"/>
  <c r="N3" i="5" s="1"/>
  <c r="N5" i="5" s="1"/>
  <c r="N15" i="4" s="1"/>
  <c r="M14" i="4"/>
  <c r="M10" i="4"/>
  <c r="M11" i="4" s="1"/>
  <c r="N4" i="5" l="1"/>
  <c r="N6" i="5" s="1"/>
  <c r="O3" i="5" s="1"/>
  <c r="M12" i="4"/>
  <c r="M13" i="4" s="1"/>
  <c r="N14" i="4" l="1"/>
  <c r="N10" i="4"/>
  <c r="N11" i="4" s="1"/>
  <c r="N12" i="4" s="1"/>
  <c r="N13" i="4" s="1"/>
  <c r="O4" i="5"/>
  <c r="O5" i="5"/>
  <c r="O15" i="4" s="1"/>
  <c r="O6" i="5" l="1"/>
  <c r="P3" i="5" s="1"/>
  <c r="O14" i="4"/>
  <c r="O10" i="4"/>
  <c r="O11" i="4" s="1"/>
  <c r="O12" i="4" l="1"/>
  <c r="O13" i="4" s="1"/>
  <c r="P4" i="5"/>
  <c r="P5" i="5"/>
  <c r="P15" i="4" s="1"/>
  <c r="P6" i="5" l="1"/>
  <c r="P14" i="4"/>
  <c r="P10" i="4"/>
  <c r="P11" i="4" s="1"/>
  <c r="P12" i="4" l="1"/>
  <c r="P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DFB9BCF2-BDA4-4223-A8B3-3FF24E9435C7}">
      <text>
        <r>
          <rPr>
            <sz val="11"/>
            <color theme="1"/>
            <rFont val="Calibri"/>
            <scheme val="minor"/>
          </rPr>
          <t>======
ID#AAAAccCPVgc
kenji    (2022-07-02 07:51:37)
Industry Growth Rate</t>
        </r>
      </text>
    </comment>
    <comment ref="B19" authorId="0" shapeId="0" xr:uid="{4D0F336A-A124-4110-BE47-7D88078A127E}">
      <text>
        <r>
          <rPr>
            <sz val="11"/>
            <color theme="1"/>
            <rFont val="Calibri"/>
            <scheme val="minor"/>
          </rPr>
          <t>======
ID#AAAAccCPVgg
kenji    (2022-07-02 07:51:37)
Source: Company 10k filing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21E4C126-BA99-4653-9A51-B2F6C724CF2C}">
      <text>
        <r>
          <rPr>
            <sz val="11"/>
            <color theme="1"/>
            <rFont val="Calibri"/>
            <scheme val="minor"/>
          </rPr>
          <t>======
ID#AAAAccCPVgU
kenji    (2022-07-02 07:51:37)
Source: Bloomberg</t>
        </r>
      </text>
    </comment>
    <comment ref="B6" authorId="0" shapeId="0" xr:uid="{FA698C53-A30B-4C00-B3C8-95C093CA869C}">
      <text>
        <r>
          <rPr>
            <sz val="11"/>
            <color theme="1"/>
            <rFont val="Calibri"/>
            <scheme val="minor"/>
          </rPr>
          <t>======
ID#AAAAccCPVgk
kenji    (2022-07-02 07:51:37)
US Corporate Tax Rate</t>
        </r>
      </text>
    </comment>
    <comment ref="B10" authorId="0" shapeId="0" xr:uid="{AEE6AD77-A3D3-4F2F-8D41-D861E63EE608}">
      <text>
        <r>
          <rPr>
            <sz val="11"/>
            <color theme="1"/>
            <rFont val="Calibri"/>
            <scheme val="minor"/>
          </rPr>
          <t>======
ID#AAAAccCPVgs
kenji    (2022-07-02 07:51:37)
Source: Bloomberg</t>
        </r>
      </text>
    </comment>
    <comment ref="B11" authorId="0" shapeId="0" xr:uid="{44FF5647-330B-479A-9EE7-27787676486E}">
      <text>
        <r>
          <rPr>
            <sz val="11"/>
            <color theme="1"/>
            <rFont val="Calibri"/>
            <scheme val="minor"/>
          </rPr>
          <t>======
ID#AAAAccCPVgo
kenji    (2022-07-02 07:51:37)
Source: Bloomberg</t>
        </r>
      </text>
    </comment>
    <comment ref="B13" authorId="0" shapeId="0" xr:uid="{CE107974-AF33-4935-ABF7-23E0C993FE0B}">
      <text>
        <r>
          <rPr>
            <sz val="11"/>
            <color theme="1"/>
            <rFont val="Calibri"/>
            <scheme val="minor"/>
          </rPr>
          <t>======
ID#AAAAccCPVgY
kenji    (2022-07-02 07:51:37)
Source: Bloomberg</t>
        </r>
      </text>
    </comment>
  </commentList>
</comments>
</file>

<file path=xl/sharedStrings.xml><?xml version="1.0" encoding="utf-8"?>
<sst xmlns="http://schemas.openxmlformats.org/spreadsheetml/2006/main" count="186" uniqueCount="157">
  <si>
    <t>Total Revenue</t>
  </si>
  <si>
    <t>Cost of Revenue</t>
  </si>
  <si>
    <t>Gross Profit</t>
  </si>
  <si>
    <t>Gross Profit Margin (%)</t>
  </si>
  <si>
    <t>R&amp;D Expense</t>
  </si>
  <si>
    <t>SG&amp;A Expense</t>
  </si>
  <si>
    <t>Total Operating Expenses</t>
  </si>
  <si>
    <t>Operating Income or Loss</t>
  </si>
  <si>
    <t>Operating Margin (%)</t>
  </si>
  <si>
    <t>Interest Expense</t>
  </si>
  <si>
    <t>Total Other Income/Expenses</t>
  </si>
  <si>
    <t>Income Before Tax</t>
  </si>
  <si>
    <t>Income Tax Expense</t>
  </si>
  <si>
    <t>Income from Continuing Ops.</t>
  </si>
  <si>
    <t>Net Income</t>
  </si>
  <si>
    <t>Net Profit Margin (%)</t>
  </si>
  <si>
    <t>Basic EPS</t>
  </si>
  <si>
    <t>Diluted EPS</t>
  </si>
  <si>
    <t>Basic Average Shares</t>
  </si>
  <si>
    <t>Diluted Average Shares</t>
  </si>
  <si>
    <t>Current Assets</t>
  </si>
  <si>
    <t>Cash &amp; Cash Equivalents</t>
  </si>
  <si>
    <t>Marketable Securities</t>
  </si>
  <si>
    <t>Receivables</t>
  </si>
  <si>
    <t>Inventories</t>
  </si>
  <si>
    <t>Other Current Assets</t>
  </si>
  <si>
    <t>Total Current Assets</t>
  </si>
  <si>
    <t>Non-Current Assets</t>
  </si>
  <si>
    <t>PPE Net</t>
  </si>
  <si>
    <t>Intangibles inc. Goodwill</t>
  </si>
  <si>
    <t>Other Non-Current Assets</t>
  </si>
  <si>
    <t>Total Non-Current Assets</t>
  </si>
  <si>
    <t>Total Assets</t>
  </si>
  <si>
    <t>Current Liabilities</t>
  </si>
  <si>
    <t>Accounts Payable</t>
  </si>
  <si>
    <t>Deferred Revenues</t>
  </si>
  <si>
    <t>Other Current Liabilities</t>
  </si>
  <si>
    <t>Total Current Liabilities</t>
  </si>
  <si>
    <t>Non-Current Liabilities</t>
  </si>
  <si>
    <t>Debt, Non-Current</t>
  </si>
  <si>
    <t>Other Non-Current Liabilities</t>
  </si>
  <si>
    <t>Total Non-Current Liabilities</t>
  </si>
  <si>
    <t>Total Liabilities</t>
  </si>
  <si>
    <t>Shareholders' Equity</t>
  </si>
  <si>
    <t>Common Stock</t>
  </si>
  <si>
    <t>Additional Paid-In Capital</t>
  </si>
  <si>
    <t>Retained Earnings</t>
  </si>
  <si>
    <t>Other Shareholders' Equity</t>
  </si>
  <si>
    <t>Total Shareholders' Equity</t>
  </si>
  <si>
    <t>Total Liabilities &amp; Shareholders' Equity</t>
  </si>
  <si>
    <t>Cash Flows from Operating Activities</t>
  </si>
  <si>
    <t>Depreciation &amp; Amortization</t>
  </si>
  <si>
    <t>Deferred Income Taxes</t>
  </si>
  <si>
    <t>Stock Based Compensation</t>
  </si>
  <si>
    <t>Accounts Receivable</t>
  </si>
  <si>
    <t>Inventory</t>
  </si>
  <si>
    <t>Deferred Revenue</t>
  </si>
  <si>
    <t>Other Non-Cash</t>
  </si>
  <si>
    <t>Operating Cash Flow</t>
  </si>
  <si>
    <t>Cash Flows from Investing Activities</t>
  </si>
  <si>
    <t>PPE Investments</t>
  </si>
  <si>
    <t>Net Acquisitions</t>
  </si>
  <si>
    <t>Purchase of Investments</t>
  </si>
  <si>
    <t>Sale of Investments</t>
  </si>
  <si>
    <t>Other Investing Activity</t>
  </si>
  <si>
    <t>Investing Cash Flow</t>
  </si>
  <si>
    <t>Cash Flows from Financing Activities</t>
  </si>
  <si>
    <t>Debt Issued</t>
  </si>
  <si>
    <t>Proceeds from Debt Repayment</t>
  </si>
  <si>
    <t>Debt Repayment</t>
  </si>
  <si>
    <t>Proceeds from Sale of Equity</t>
  </si>
  <si>
    <t>Equity Repurchased</t>
  </si>
  <si>
    <t>Dividend Paid</t>
  </si>
  <si>
    <t>Other Financing Activity</t>
  </si>
  <si>
    <t>Financing Cash Flow</t>
  </si>
  <si>
    <t>Cash Position</t>
  </si>
  <si>
    <t>Beginning Cash Position</t>
  </si>
  <si>
    <t>End Cash Position</t>
  </si>
  <si>
    <t>Change in Cash</t>
  </si>
  <si>
    <t>Free Cash Flow</t>
  </si>
  <si>
    <t>Capital Expenditure</t>
  </si>
  <si>
    <t>Unlevered Free Cash Flow (mm)</t>
  </si>
  <si>
    <t>Fiscal Year</t>
  </si>
  <si>
    <t>Revenue</t>
  </si>
  <si>
    <t>COGS</t>
  </si>
  <si>
    <t>Operating Expenses</t>
  </si>
  <si>
    <t>Selling, General, Administrative</t>
  </si>
  <si>
    <t>EBITDA</t>
  </si>
  <si>
    <t>Operating Profit (EBIT)</t>
  </si>
  <si>
    <t>Operating Taxes</t>
  </si>
  <si>
    <t>NOPAT (Net Operating Profit After Taxes)</t>
  </si>
  <si>
    <t>(+) Depreciation &amp; Amortization</t>
  </si>
  <si>
    <t>(-) Change in NWC</t>
  </si>
  <si>
    <t>NWC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</si>
  <si>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</si>
  <si>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</si>
  <si>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</si>
  <si>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</si>
  <si>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</si>
  <si>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</si>
  <si>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</si>
  <si>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(+) Capital Expenditures</t>
  </si>
  <si>
    <t>Total Industry Revenue (billions)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</si>
  <si>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</si>
  <si>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</si>
  <si>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</si>
  <si>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</si>
  <si>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</si>
  <si>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</si>
  <si>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</si>
  <si>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</si>
  <si>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</si>
  <si>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</si>
  <si>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Days Sales Outstanding (DSO)</t>
  </si>
  <si>
    <t>Days Inventory Outstanding (DIO)</t>
  </si>
  <si>
    <t>Days Payable Outstanding (DPO)</t>
  </si>
  <si>
    <t>Other Current Assets as a % of Revenue</t>
  </si>
  <si>
    <t>Other Current Liabilities as a % of Revenue</t>
  </si>
  <si>
    <t>Accrued Inventory Liabilities</t>
  </si>
  <si>
    <t>Accrued Compensation and Related Exprenses</t>
  </si>
  <si>
    <t>Accrued Compensation and Related Expenses</t>
  </si>
  <si>
    <t>Accrued Liabilities and Other</t>
  </si>
  <si>
    <t>Current Lease Liabilities</t>
  </si>
  <si>
    <t>Current Income Taxes Payable</t>
  </si>
  <si>
    <t>Unredeemed Gift Card Liability</t>
  </si>
  <si>
    <t>Lease Termination Liabilities</t>
  </si>
  <si>
    <t>Accrued Compensation as a % of Revenue</t>
  </si>
  <si>
    <t>Unredeemed Gift Card Liability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</si>
  <si>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</si>
  <si>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</si>
  <si>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</si>
  <si>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</si>
  <si>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</si>
  <si>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</si>
  <si>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</si>
  <si>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</si>
  <si>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</si>
  <si>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</si>
  <si>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</si>
  <si>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</si>
  <si>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</si>
  <si>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</si>
  <si>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Implied Share Price</t>
  </si>
  <si>
    <t>Weighted Average Cost of Capital (WACC)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</si>
  <si>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</si>
  <si>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</si>
  <si>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</si>
  <si>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</si>
  <si>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</si>
  <si>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</si>
  <si>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</si>
  <si>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</si>
  <si>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</si>
  <si>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</si>
  <si>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Equity</t>
  </si>
  <si>
    <t>Debt</t>
  </si>
  <si>
    <t>Diluted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</si>
</sst>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\ &quot;bn&quot;"/>
    <numFmt numFmtId="165" formatCode="#,##0.00,,\ &quot;mm&quot;"/>
    <numFmt numFmtId="166" formatCode="#,##0.00,\ &quot;k&quot;"/>
    <numFmt numFmtId="167" formatCode="yyyy\A"/>
    <numFmt numFmtId="168" formatCode="yyyy\E"/>
    <numFmt numFmtId="169" formatCode="#,##0_);\(#,##0\);\-\-_)"/>
    <numFmt numFmtId="170" formatCode="0.0%"/>
    <numFmt numFmtId="171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2">
    <xf numFmtId="0" fontId="0" fillId="0" borderId="0" xfId="0"/>
    <xf numFmtId="0" fontId="0" fillId="0" borderId="2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0" fillId="0" borderId="5" xfId="0" applyBorder="1"/>
    <xf numFmtId="17" fontId="0" fillId="0" borderId="6" xfId="0" applyNumberFormat="1" applyBorder="1"/>
    <xf numFmtId="17" fontId="0" fillId="0" borderId="7" xfId="0" applyNumberFormat="1" applyBorder="1"/>
    <xf numFmtId="0" fontId="0" fillId="0" borderId="8" xfId="0" applyBorder="1"/>
    <xf numFmtId="164" fontId="0" fillId="0" borderId="2" xfId="0" applyNumberFormat="1" applyBorder="1"/>
    <xf numFmtId="165" fontId="0" fillId="0" borderId="2" xfId="0" applyNumberFormat="1" applyBorder="1"/>
    <xf numFmtId="0" fontId="1" fillId="0" borderId="8" xfId="0" applyFont="1" applyBorder="1"/>
    <xf numFmtId="2" fontId="0" fillId="0" borderId="2" xfId="0" applyNumberFormat="1" applyBorder="1"/>
    <xf numFmtId="165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17" fontId="0" fillId="0" borderId="12" xfId="0" applyNumberFormat="1" applyBorder="1"/>
    <xf numFmtId="17" fontId="0" fillId="0" borderId="13" xfId="0" applyNumberFormat="1" applyBorder="1"/>
    <xf numFmtId="0" fontId="1" fillId="0" borderId="11" xfId="0" applyFont="1" applyBorder="1"/>
    <xf numFmtId="0" fontId="1" fillId="0" borderId="9" xfId="0" applyFont="1" applyBorder="1"/>
    <xf numFmtId="166" fontId="0" fillId="0" borderId="2" xfId="0" applyNumberFormat="1" applyBorder="1"/>
    <xf numFmtId="0" fontId="1" fillId="0" borderId="14" xfId="0" applyFont="1" applyBorder="1"/>
    <xf numFmtId="164" fontId="0" fillId="0" borderId="12" xfId="0" applyNumberFormat="1" applyBorder="1"/>
    <xf numFmtId="164" fontId="0" fillId="0" borderId="13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7" fontId="4" fillId="3" borderId="15" xfId="0" applyNumberFormat="1" applyFont="1" applyFill="1" applyBorder="1"/>
    <xf numFmtId="168" fontId="4" fillId="3" borderId="15" xfId="0" applyNumberFormat="1" applyFont="1" applyFill="1" applyBorder="1"/>
    <xf numFmtId="0" fontId="2" fillId="0" borderId="0" xfId="0" applyFont="1"/>
    <xf numFmtId="169" fontId="4" fillId="0" borderId="15" xfId="0" applyNumberFormat="1" applyFont="1" applyBorder="1"/>
    <xf numFmtId="169" fontId="5" fillId="4" borderId="16" xfId="0" applyNumberFormat="1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4" fillId="3" borderId="17" xfId="0" applyFont="1" applyFill="1" applyBorder="1"/>
    <xf numFmtId="168" fontId="4" fillId="3" borderId="18" xfId="0" applyNumberFormat="1" applyFont="1" applyFill="1" applyBorder="1"/>
    <xf numFmtId="0" fontId="2" fillId="0" borderId="8" xfId="0" applyFont="1" applyBorder="1"/>
    <xf numFmtId="169" fontId="4" fillId="0" borderId="0" xfId="0" applyNumberFormat="1" applyFont="1"/>
    <xf numFmtId="0" fontId="4" fillId="0" borderId="17" xfId="0" applyFont="1" applyBorder="1"/>
    <xf numFmtId="169" fontId="4" fillId="0" borderId="18" xfId="0" applyNumberFormat="1" applyFont="1" applyBorder="1"/>
    <xf numFmtId="0" fontId="5" fillId="0" borderId="8" xfId="0" applyFont="1" applyBorder="1"/>
    <xf numFmtId="169" fontId="5" fillId="0" borderId="0" xfId="0" applyNumberFormat="1" applyFont="1"/>
    <xf numFmtId="169" fontId="5" fillId="0" borderId="2" xfId="0" applyNumberFormat="1" applyFont="1" applyBorder="1"/>
    <xf numFmtId="169" fontId="4" fillId="0" borderId="2" xfId="0" applyNumberFormat="1" applyFont="1" applyBorder="1"/>
    <xf numFmtId="0" fontId="4" fillId="0" borderId="8" xfId="0" applyFont="1" applyBorder="1" applyAlignment="1">
      <alignment horizontal="left"/>
    </xf>
    <xf numFmtId="0" fontId="5" fillId="4" borderId="19" xfId="0" applyFont="1" applyFill="1" applyBorder="1"/>
    <xf numFmtId="0" fontId="3" fillId="2" borderId="8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4" fillId="5" borderId="8" xfId="0" applyFont="1" applyFill="1" applyBorder="1"/>
    <xf numFmtId="0" fontId="4" fillId="5" borderId="0" xfId="0" applyFont="1" applyFill="1"/>
    <xf numFmtId="170" fontId="4" fillId="5" borderId="0" xfId="0" applyNumberFormat="1" applyFont="1" applyFill="1"/>
    <xf numFmtId="170" fontId="4" fillId="5" borderId="2" xfId="0" applyNumberFormat="1" applyFont="1" applyFill="1" applyBorder="1"/>
    <xf numFmtId="0" fontId="4" fillId="5" borderId="2" xfId="0" applyFont="1" applyFill="1" applyBorder="1"/>
    <xf numFmtId="0" fontId="4" fillId="5" borderId="9" xfId="0" applyFont="1" applyFill="1" applyBorder="1"/>
    <xf numFmtId="170" fontId="4" fillId="5" borderId="1" xfId="0" applyNumberFormat="1" applyFont="1" applyFill="1" applyBorder="1"/>
    <xf numFmtId="170" fontId="4" fillId="5" borderId="3" xfId="0" applyNumberFormat="1" applyFont="1" applyFill="1" applyBorder="1"/>
    <xf numFmtId="170" fontId="4" fillId="5" borderId="0" xfId="1" applyNumberFormat="1" applyFont="1" applyFill="1" applyBorder="1"/>
    <xf numFmtId="170" fontId="0" fillId="0" borderId="0" xfId="1" applyNumberFormat="1" applyFont="1"/>
    <xf numFmtId="170" fontId="0" fillId="0" borderId="0" xfId="0" applyNumberFormat="1"/>
    <xf numFmtId="170" fontId="4" fillId="5" borderId="20" xfId="0" applyNumberFormat="1" applyFont="1" applyFill="1" applyBorder="1"/>
    <xf numFmtId="169" fontId="4" fillId="0" borderId="15" xfId="0" applyNumberFormat="1" applyFont="1" applyBorder="1" applyAlignment="1">
      <alignment horizontal="right"/>
    </xf>
    <xf numFmtId="169" fontId="4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20" xfId="0" applyNumberFormat="1" applyBorder="1" applyAlignment="1">
      <alignment horizontal="center"/>
    </xf>
    <xf numFmtId="169" fontId="5" fillId="0" borderId="20" xfId="0" applyNumberFormat="1" applyFont="1" applyBorder="1"/>
    <xf numFmtId="0" fontId="6" fillId="2" borderId="0" xfId="0" applyFont="1" applyFill="1"/>
    <xf numFmtId="0" fontId="7" fillId="3" borderId="15" xfId="0" applyFont="1" applyFill="1" applyBorder="1"/>
    <xf numFmtId="0" fontId="8" fillId="0" borderId="0" xfId="0" applyFont="1"/>
    <xf numFmtId="3" fontId="7" fillId="0" borderId="0" xfId="0" applyNumberFormat="1" applyFont="1"/>
    <xf numFmtId="0" fontId="9" fillId="0" borderId="16" xfId="0" applyFont="1" applyBorder="1"/>
    <xf numFmtId="3" fontId="9" fillId="0" borderId="16" xfId="0" applyNumberFormat="1" applyFont="1" applyBorder="1"/>
    <xf numFmtId="0" fontId="7" fillId="5" borderId="0" xfId="0" applyFont="1" applyFill="1"/>
    <xf numFmtId="170" fontId="7" fillId="5" borderId="0" xfId="0" applyNumberFormat="1" applyFont="1" applyFill="1"/>
    <xf numFmtId="3" fontId="0" fillId="0" borderId="0" xfId="0" applyNumberFormat="1"/>
    <xf numFmtId="3" fontId="4" fillId="0" borderId="0" xfId="0" applyNumberFormat="1" applyFont="1"/>
    <xf numFmtId="0" fontId="4" fillId="3" borderId="15" xfId="0" applyFont="1" applyFill="1" applyBorder="1"/>
    <xf numFmtId="0" fontId="5" fillId="0" borderId="16" xfId="0" applyFont="1" applyBorder="1"/>
    <xf numFmtId="3" fontId="5" fillId="0" borderId="16" xfId="0" applyNumberFormat="1" applyFont="1" applyBorder="1"/>
    <xf numFmtId="3" fontId="4" fillId="5" borderId="0" xfId="0" applyNumberFormat="1" applyFont="1" applyFill="1"/>
    <xf numFmtId="171" fontId="4" fillId="5" borderId="0" xfId="0" applyNumberFormat="1" applyFont="1" applyFill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70" fontId="4" fillId="5" borderId="0" xfId="1" applyNumberFormat="1" applyFont="1" applyFill="1"/>
    <xf numFmtId="167" fontId="7" fillId="3" borderId="15" xfId="0" applyNumberFormat="1" applyFont="1" applyFill="1" applyBorder="1"/>
    <xf numFmtId="0" fontId="6" fillId="2" borderId="0" xfId="0" applyFont="1" applyFill="1" applyAlignment="1">
      <alignment horizontal="center"/>
    </xf>
    <xf numFmtId="0" fontId="10" fillId="0" borderId="0" xfId="0" applyFont="1"/>
    <xf numFmtId="0" fontId="7" fillId="0" borderId="0" xfId="0" applyFont="1"/>
    <xf numFmtId="170" fontId="7" fillId="0" borderId="0" xfId="0" applyNumberFormat="1" applyFont="1"/>
    <xf numFmtId="4" fontId="7" fillId="0" borderId="0" xfId="0" applyNumberFormat="1" applyFont="1"/>
    <xf numFmtId="10" fontId="7" fillId="3" borderId="0" xfId="0" applyNumberFormat="1" applyFont="1" applyFill="1"/>
    <xf numFmtId="0" fontId="6" fillId="2" borderId="0" xfId="0" applyFont="1" applyFill="1" applyAlignment="1">
      <alignment horizontal="center" vertical="center" textRotation="90"/>
    </xf>
    <xf numFmtId="4" fontId="7" fillId="3" borderId="0" xfId="0" applyNumberFormat="1" applyFont="1" applyFill="1"/>
    <xf numFmtId="4" fontId="6" fillId="2" borderId="0" xfId="0" applyNumberFormat="1" applyFont="1" applyFill="1"/>
    <xf numFmtId="0" fontId="7" fillId="0" borderId="0" xfId="0" applyFont="1" applyAlignment="1">
      <alignment horizontal="left"/>
    </xf>
    <xf numFmtId="0" fontId="7" fillId="0" borderId="16" xfId="0" applyFont="1" applyBorder="1"/>
    <xf numFmtId="3" fontId="7" fillId="0" borderId="16" xfId="0" applyNumberFormat="1" applyFont="1" applyBorder="1"/>
    <xf numFmtId="0" fontId="9" fillId="4" borderId="16" xfId="0" applyFont="1" applyFill="1" applyBorder="1"/>
    <xf numFmtId="4" fontId="9" fillId="4" borderId="16" xfId="0" applyNumberFormat="1" applyFont="1" applyFill="1" applyBorder="1"/>
    <xf numFmtId="3" fontId="11" fillId="0" borderId="0" xfId="0" applyNumberFormat="1" applyFont="1"/>
    <xf numFmtId="170" fontId="11" fillId="0" borderId="0" xfId="0" applyNumberFormat="1" applyFont="1"/>
    <xf numFmtId="170" fontId="9" fillId="0" borderId="16" xfId="0" applyNumberFormat="1" applyFont="1" applyBorder="1"/>
    <xf numFmtId="0" fontId="9" fillId="0" borderId="0" xfId="0" applyFont="1"/>
    <xf numFmtId="170" fontId="9" fillId="0" borderId="0" xfId="0" applyNumberFormat="1" applyFont="1"/>
    <xf numFmtId="0" fontId="11" fillId="0" borderId="0" xfId="0" applyFont="1"/>
    <xf numFmtId="170" fontId="9" fillId="4" borderId="16" xfId="0" applyNumberFormat="1" applyFont="1" applyFill="1" applyBorder="1"/>
    <xf numFmtId="170" fontId="7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K3" sqref="K3"/>
    </sheetView>
  </sheetViews>
  <sheetFormatPr defaultRowHeight="15"/>
  <cols>
    <col min="1" max="1" width="44" bestFit="1" customWidth="1"/>
    <col min="2" max="9" width="10.42578125" bestFit="1" customWidth="1"/>
    <col min="10" max="10" width="11.5703125" bestFit="1" customWidth="1"/>
    <col min="11" max="11" width="10.42578125" bestFit="1" customWidth="1"/>
  </cols>
  <sheetData>
    <row r="1" spans="1:11">
      <c r="A1" s="19"/>
      <c r="B1" s="20">
        <v>44562</v>
      </c>
      <c r="C1" s="20">
        <v>44197</v>
      </c>
      <c r="D1" s="20">
        <v>43862</v>
      </c>
      <c r="E1" s="20">
        <v>43497</v>
      </c>
      <c r="F1" s="20">
        <v>43101</v>
      </c>
      <c r="G1" s="20">
        <v>42736</v>
      </c>
      <c r="H1" s="20">
        <v>42370</v>
      </c>
      <c r="I1" s="20">
        <v>42005</v>
      </c>
      <c r="J1" s="20">
        <v>41671</v>
      </c>
      <c r="K1" s="21">
        <v>41306</v>
      </c>
    </row>
    <row r="2" spans="1:11">
      <c r="A2" s="17" t="s">
        <v>0</v>
      </c>
      <c r="B2" s="4">
        <v>6256617000</v>
      </c>
      <c r="C2" s="4">
        <v>4401879000</v>
      </c>
      <c r="D2" s="4">
        <v>3979296000</v>
      </c>
      <c r="E2" s="4">
        <v>3288319000</v>
      </c>
      <c r="F2" s="4">
        <v>2649181000</v>
      </c>
      <c r="G2" s="4">
        <v>2344392000</v>
      </c>
      <c r="H2" s="4">
        <v>2060523000</v>
      </c>
      <c r="I2" s="4">
        <v>1797213000</v>
      </c>
      <c r="J2" s="4">
        <v>1591188000</v>
      </c>
      <c r="K2" s="12">
        <v>1370358000</v>
      </c>
    </row>
    <row r="3" spans="1:11">
      <c r="A3" s="17" t="s">
        <v>1</v>
      </c>
      <c r="B3" s="4">
        <v>2648052000</v>
      </c>
      <c r="C3" s="4">
        <v>1937888000</v>
      </c>
      <c r="D3" s="4">
        <v>1755910000</v>
      </c>
      <c r="E3" s="4">
        <v>1472032000</v>
      </c>
      <c r="F3" s="4">
        <v>1250391000</v>
      </c>
      <c r="G3" s="4">
        <v>1144775000</v>
      </c>
      <c r="H3" s="4">
        <v>1063357000</v>
      </c>
      <c r="I3" s="7">
        <v>883033000</v>
      </c>
      <c r="J3" s="7">
        <v>751112000</v>
      </c>
      <c r="K3" s="13">
        <v>607352000</v>
      </c>
    </row>
    <row r="4" spans="1:11">
      <c r="A4" s="22" t="s">
        <v>2</v>
      </c>
      <c r="B4" s="2">
        <v>3608565000</v>
      </c>
      <c r="C4" s="2">
        <v>2463991000</v>
      </c>
      <c r="D4" s="2">
        <v>2223386000</v>
      </c>
      <c r="E4" s="2">
        <v>1816287000</v>
      </c>
      <c r="F4" s="2">
        <v>1398790000</v>
      </c>
      <c r="G4" s="2">
        <v>1199617000</v>
      </c>
      <c r="H4" s="3">
        <v>997166000</v>
      </c>
      <c r="I4" s="3">
        <v>914180000</v>
      </c>
      <c r="J4" s="3">
        <v>840076000</v>
      </c>
      <c r="K4" s="16">
        <v>762826000</v>
      </c>
    </row>
    <row r="5" spans="1:11">
      <c r="A5" s="17" t="s">
        <v>3</v>
      </c>
      <c r="B5" s="5">
        <v>57.675977289324202</v>
      </c>
      <c r="C5" s="5">
        <v>55.975891204642302</v>
      </c>
      <c r="D5" s="5">
        <v>55.873853063456401</v>
      </c>
      <c r="E5" s="5">
        <v>55.234513439845699</v>
      </c>
      <c r="F5" s="5">
        <v>52.800846752260398</v>
      </c>
      <c r="G5" s="5">
        <v>51.169642278253797</v>
      </c>
      <c r="H5" s="5">
        <v>24.196915055061201</v>
      </c>
      <c r="I5" s="5">
        <v>50.866536131220897</v>
      </c>
      <c r="J5" s="5">
        <v>52.795521333745597</v>
      </c>
      <c r="K5" s="15">
        <v>55.666183581224701</v>
      </c>
    </row>
    <row r="6" spans="1:11">
      <c r="A6" s="17" t="s">
        <v>4</v>
      </c>
      <c r="K6" s="1"/>
    </row>
    <row r="7" spans="1:11">
      <c r="A7" s="17" t="s">
        <v>5</v>
      </c>
      <c r="B7" s="4">
        <v>2225034000</v>
      </c>
      <c r="C7" s="4">
        <v>1609003000</v>
      </c>
      <c r="D7" s="4">
        <v>1334247000</v>
      </c>
      <c r="E7" s="4">
        <v>1110379000</v>
      </c>
      <c r="F7" s="7">
        <v>904264000</v>
      </c>
      <c r="G7" s="7">
        <v>778465000</v>
      </c>
      <c r="H7" s="7">
        <v>628090000</v>
      </c>
      <c r="I7" s="7">
        <v>538147000</v>
      </c>
      <c r="J7" s="7">
        <v>448718000</v>
      </c>
      <c r="K7" s="13">
        <v>386387000</v>
      </c>
    </row>
    <row r="8" spans="1:11">
      <c r="A8" s="17" t="s">
        <v>6</v>
      </c>
      <c r="B8" s="4">
        <v>2275210000</v>
      </c>
      <c r="C8" s="4">
        <v>1644005000</v>
      </c>
      <c r="D8" s="4">
        <v>1334276000</v>
      </c>
      <c r="E8" s="4">
        <v>1110451000</v>
      </c>
      <c r="F8" s="7">
        <v>942789000</v>
      </c>
      <c r="G8" s="7">
        <v>778465000</v>
      </c>
      <c r="H8" s="7">
        <v>628090000</v>
      </c>
      <c r="I8" s="7">
        <v>538147000</v>
      </c>
      <c r="J8" s="7">
        <v>448718000</v>
      </c>
      <c r="K8" s="13">
        <v>386387000</v>
      </c>
    </row>
    <row r="9" spans="1:11">
      <c r="A9" s="22" t="s">
        <v>7</v>
      </c>
      <c r="B9" s="2">
        <v>1333869000</v>
      </c>
      <c r="C9" s="3">
        <v>819986000</v>
      </c>
      <c r="D9" s="3">
        <v>897393000</v>
      </c>
      <c r="E9" s="3">
        <v>705836000</v>
      </c>
      <c r="F9" s="3">
        <v>456001000</v>
      </c>
      <c r="G9" s="3">
        <v>421152000</v>
      </c>
      <c r="H9" s="3">
        <v>369076000</v>
      </c>
      <c r="I9" s="3">
        <v>376033000</v>
      </c>
      <c r="J9" s="3">
        <v>391358000</v>
      </c>
      <c r="K9" s="16">
        <v>376439000</v>
      </c>
    </row>
    <row r="10" spans="1:11">
      <c r="A10" s="17" t="s">
        <v>8</v>
      </c>
      <c r="B10" s="5">
        <v>21.319332795982199</v>
      </c>
      <c r="C10" s="5">
        <v>18.628090413207602</v>
      </c>
      <c r="D10" s="5">
        <v>22.551551832283899</v>
      </c>
      <c r="E10" s="5">
        <v>21.464949112297099</v>
      </c>
      <c r="F10" s="5">
        <v>17.212904667518</v>
      </c>
      <c r="G10" s="5">
        <v>17.964231237779298</v>
      </c>
      <c r="H10" s="5">
        <v>8.9558815892858199</v>
      </c>
      <c r="I10" s="5">
        <v>20.923118183543</v>
      </c>
      <c r="J10" s="5">
        <v>24.595333800908499</v>
      </c>
      <c r="K10" s="15">
        <v>27.470120946497101</v>
      </c>
    </row>
    <row r="11" spans="1:11">
      <c r="A11" s="17" t="s">
        <v>9</v>
      </c>
      <c r="K11" s="1"/>
    </row>
    <row r="12" spans="1:11">
      <c r="A12" s="17" t="s">
        <v>10</v>
      </c>
      <c r="B12" s="6">
        <v>514000</v>
      </c>
      <c r="C12" s="6">
        <v>-636000</v>
      </c>
      <c r="D12" s="7">
        <v>8283000</v>
      </c>
      <c r="E12" s="7">
        <v>9414000</v>
      </c>
      <c r="F12" s="7">
        <v>3997000</v>
      </c>
      <c r="G12" s="7">
        <v>-6723000</v>
      </c>
      <c r="H12" s="7">
        <v>11419000</v>
      </c>
      <c r="I12" s="7">
        <v>13502000</v>
      </c>
      <c r="J12" s="7">
        <v>23082000</v>
      </c>
      <c r="K12" s="13">
        <v>4332000</v>
      </c>
    </row>
    <row r="13" spans="1:11">
      <c r="A13" s="17" t="s">
        <v>11</v>
      </c>
      <c r="B13" s="4">
        <v>1333869000</v>
      </c>
      <c r="C13" s="7">
        <v>819350000</v>
      </c>
      <c r="D13" s="7">
        <v>897393000</v>
      </c>
      <c r="E13" s="7">
        <v>715250000</v>
      </c>
      <c r="F13" s="7">
        <v>459998000</v>
      </c>
      <c r="G13" s="7">
        <v>422729000</v>
      </c>
      <c r="H13" s="7">
        <v>368495000</v>
      </c>
      <c r="I13" s="7">
        <v>383135000</v>
      </c>
      <c r="J13" s="7">
        <v>397126000</v>
      </c>
      <c r="K13" s="13">
        <v>381396000</v>
      </c>
    </row>
    <row r="14" spans="1:11">
      <c r="A14" s="17" t="s">
        <v>12</v>
      </c>
      <c r="B14" s="7">
        <v>358547000</v>
      </c>
      <c r="C14" s="7">
        <v>230437000</v>
      </c>
      <c r="D14" s="7">
        <v>251797000</v>
      </c>
      <c r="E14" s="7">
        <v>231449000</v>
      </c>
      <c r="F14" s="7">
        <v>201336000</v>
      </c>
      <c r="G14" s="7">
        <v>119348000</v>
      </c>
      <c r="H14" s="7">
        <v>102448000</v>
      </c>
      <c r="I14" s="7">
        <v>144102000</v>
      </c>
      <c r="J14" s="7">
        <v>117579000</v>
      </c>
      <c r="K14" s="13">
        <v>109965000</v>
      </c>
    </row>
    <row r="15" spans="1:11">
      <c r="A15" s="17" t="s">
        <v>13</v>
      </c>
      <c r="B15" s="7">
        <v>975322000</v>
      </c>
      <c r="C15" s="7">
        <v>588913000</v>
      </c>
      <c r="D15" s="7">
        <v>645596000</v>
      </c>
      <c r="E15" s="7">
        <v>483801000</v>
      </c>
      <c r="F15" s="7">
        <v>258662000</v>
      </c>
      <c r="G15" s="7">
        <v>303381000</v>
      </c>
      <c r="H15" s="7">
        <v>266047000</v>
      </c>
      <c r="I15" s="7">
        <v>239033000</v>
      </c>
      <c r="J15" s="7">
        <v>279547000</v>
      </c>
      <c r="K15" s="13">
        <v>270556000</v>
      </c>
    </row>
    <row r="16" spans="1:11">
      <c r="A16" s="22" t="s">
        <v>14</v>
      </c>
      <c r="B16" s="3">
        <v>975322000</v>
      </c>
      <c r="C16" s="3">
        <v>588913000</v>
      </c>
      <c r="D16" s="3">
        <v>645596000</v>
      </c>
      <c r="E16" s="3">
        <v>483801000</v>
      </c>
      <c r="F16" s="3">
        <v>258662000</v>
      </c>
      <c r="G16" s="3">
        <v>303381000</v>
      </c>
      <c r="H16" s="3">
        <v>266047000</v>
      </c>
      <c r="I16" s="3">
        <v>239033000</v>
      </c>
      <c r="J16" s="3">
        <v>279547000</v>
      </c>
      <c r="K16" s="16">
        <v>270556000</v>
      </c>
    </row>
    <row r="17" spans="1:11">
      <c r="A17" s="17" t="s">
        <v>15</v>
      </c>
      <c r="B17" s="5">
        <v>15.588647986603601</v>
      </c>
      <c r="C17" s="5">
        <v>13.378673062117301</v>
      </c>
      <c r="D17" s="5">
        <v>16.2238747758397</v>
      </c>
      <c r="E17" s="5">
        <v>14.7127149160406</v>
      </c>
      <c r="F17" s="5">
        <v>9.7638477703108997</v>
      </c>
      <c r="G17" s="5">
        <v>12.940711280365999</v>
      </c>
      <c r="H17" s="5">
        <v>6.4558124320864101</v>
      </c>
      <c r="I17" s="5">
        <v>13.300204260708099</v>
      </c>
      <c r="J17" s="5">
        <v>17.5684457147741</v>
      </c>
      <c r="K17" s="15">
        <v>19.743453900367602</v>
      </c>
    </row>
    <row r="18" spans="1:11">
      <c r="A18" s="17" t="s">
        <v>16</v>
      </c>
      <c r="B18">
        <v>7.52</v>
      </c>
      <c r="C18">
        <v>4.5199999999999996</v>
      </c>
      <c r="D18">
        <v>4.95</v>
      </c>
      <c r="E18">
        <v>3.63</v>
      </c>
      <c r="F18">
        <v>1.9</v>
      </c>
      <c r="G18">
        <v>2.21</v>
      </c>
      <c r="H18">
        <v>1.9</v>
      </c>
      <c r="I18">
        <v>1.66</v>
      </c>
      <c r="J18">
        <v>1.93</v>
      </c>
      <c r="K18" s="1">
        <v>1.88</v>
      </c>
    </row>
    <row r="19" spans="1:11">
      <c r="A19" s="17" t="s">
        <v>17</v>
      </c>
      <c r="B19">
        <v>7.49</v>
      </c>
      <c r="C19">
        <v>4.5</v>
      </c>
      <c r="D19">
        <v>4.93</v>
      </c>
      <c r="E19">
        <v>3.61</v>
      </c>
      <c r="F19">
        <v>1.9</v>
      </c>
      <c r="G19">
        <v>2.21</v>
      </c>
      <c r="H19">
        <v>1.89</v>
      </c>
      <c r="I19">
        <v>1.66</v>
      </c>
      <c r="J19">
        <v>1.91</v>
      </c>
      <c r="K19" s="1">
        <v>1.85</v>
      </c>
    </row>
    <row r="20" spans="1:11">
      <c r="A20" s="17" t="s">
        <v>18</v>
      </c>
      <c r="B20" s="7">
        <v>129768000</v>
      </c>
      <c r="C20" s="7">
        <v>130289000</v>
      </c>
      <c r="D20" s="7">
        <v>130393000</v>
      </c>
      <c r="E20" s="7">
        <v>133413000</v>
      </c>
      <c r="F20" s="7">
        <v>135988000</v>
      </c>
      <c r="G20" s="7">
        <v>137086000</v>
      </c>
      <c r="H20" s="7">
        <v>140365000</v>
      </c>
      <c r="I20" s="7">
        <v>143935000</v>
      </c>
      <c r="J20" s="7">
        <v>144913000</v>
      </c>
      <c r="K20" s="13">
        <v>144000000</v>
      </c>
    </row>
    <row r="21" spans="1:11">
      <c r="A21" s="18" t="s">
        <v>19</v>
      </c>
      <c r="B21" s="3">
        <v>130295000</v>
      </c>
      <c r="C21" s="3">
        <v>130871000</v>
      </c>
      <c r="D21" s="3">
        <v>130955000</v>
      </c>
      <c r="E21" s="3">
        <v>133971000</v>
      </c>
      <c r="F21" s="3">
        <v>136198000</v>
      </c>
      <c r="G21" s="3">
        <v>137302000</v>
      </c>
      <c r="H21" s="3">
        <v>140610000</v>
      </c>
      <c r="I21" s="3">
        <v>144298000</v>
      </c>
      <c r="J21" s="3">
        <v>146043000</v>
      </c>
      <c r="K21" s="16">
        <v>145806000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8666-44C1-4DD1-9C07-DE5272F9D63A}">
  <dimension ref="A1:K38"/>
  <sheetViews>
    <sheetView workbookViewId="0">
      <selection activeCell="M24" sqref="M24"/>
    </sheetView>
  </sheetViews>
  <sheetFormatPr defaultRowHeight="15"/>
  <cols>
    <col min="1" max="1" width="42.28515625" bestFit="1" customWidth="1"/>
    <col min="2" max="11" width="11" bestFit="1" customWidth="1"/>
  </cols>
  <sheetData>
    <row r="1" spans="1:11">
      <c r="A1" s="8"/>
      <c r="B1" s="9">
        <v>44562</v>
      </c>
      <c r="C1" s="9">
        <v>44197</v>
      </c>
      <c r="D1" s="9">
        <v>43862</v>
      </c>
      <c r="E1" s="9">
        <v>43497</v>
      </c>
      <c r="F1" s="9">
        <v>43101</v>
      </c>
      <c r="G1" s="9">
        <v>42736</v>
      </c>
      <c r="H1" s="9">
        <v>42370</v>
      </c>
      <c r="I1" s="9">
        <v>42005</v>
      </c>
      <c r="J1" s="9">
        <v>41671</v>
      </c>
      <c r="K1" s="10">
        <v>41306</v>
      </c>
    </row>
    <row r="2" spans="1:11">
      <c r="A2" s="85" t="s">
        <v>20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>
      <c r="A3" s="11" t="s">
        <v>21</v>
      </c>
      <c r="B3" s="4">
        <v>1259871000</v>
      </c>
      <c r="C3" s="4">
        <v>1150517000</v>
      </c>
      <c r="D3" s="4">
        <v>1093505000</v>
      </c>
      <c r="E3" s="7">
        <v>881320000</v>
      </c>
      <c r="F3" s="7">
        <v>990501000</v>
      </c>
      <c r="G3" s="7">
        <v>734846000</v>
      </c>
      <c r="H3" s="7">
        <v>501482000</v>
      </c>
      <c r="I3" s="7">
        <v>664479000</v>
      </c>
      <c r="J3" s="7">
        <v>698649000</v>
      </c>
      <c r="K3" s="13">
        <v>590179000</v>
      </c>
    </row>
    <row r="4" spans="1:11">
      <c r="A4" s="11" t="s">
        <v>23</v>
      </c>
      <c r="B4" s="7">
        <v>77001000</v>
      </c>
      <c r="C4" s="7">
        <v>62399000</v>
      </c>
      <c r="D4" s="7">
        <v>40219000</v>
      </c>
      <c r="E4" s="7">
        <v>35786000</v>
      </c>
      <c r="F4" s="7">
        <v>19173000</v>
      </c>
      <c r="G4" s="7">
        <v>9200000</v>
      </c>
      <c r="H4" s="7">
        <v>13108000</v>
      </c>
      <c r="I4" s="7">
        <v>13746000</v>
      </c>
      <c r="J4" s="7">
        <v>11903000</v>
      </c>
      <c r="K4" s="13">
        <v>6351000</v>
      </c>
    </row>
    <row r="5" spans="1:11">
      <c r="A5" s="11" t="s">
        <v>24</v>
      </c>
      <c r="B5" s="7">
        <v>966481000</v>
      </c>
      <c r="C5" s="7">
        <v>647230000</v>
      </c>
      <c r="D5" s="7">
        <v>518513000</v>
      </c>
      <c r="E5" s="7">
        <v>404842000</v>
      </c>
      <c r="F5" s="7">
        <v>329562000</v>
      </c>
      <c r="G5" s="7">
        <v>298432000</v>
      </c>
      <c r="H5" s="7">
        <v>284009000</v>
      </c>
      <c r="I5" s="7">
        <v>208116000</v>
      </c>
      <c r="J5" s="7">
        <v>188790000</v>
      </c>
      <c r="K5" s="13">
        <v>155222000</v>
      </c>
    </row>
    <row r="6" spans="1:11">
      <c r="A6" s="11" t="s">
        <v>25</v>
      </c>
      <c r="B6" s="7">
        <v>32550000</v>
      </c>
      <c r="C6" s="7">
        <v>25579000</v>
      </c>
      <c r="D6" s="7">
        <v>4239000</v>
      </c>
      <c r="E6" s="7">
        <v>57949000</v>
      </c>
      <c r="F6" s="7">
        <v>48098000</v>
      </c>
      <c r="G6" s="7">
        <v>39069000</v>
      </c>
      <c r="H6" s="7">
        <v>26987000</v>
      </c>
      <c r="I6" s="7">
        <v>24124000</v>
      </c>
      <c r="J6" s="7">
        <v>46197000</v>
      </c>
      <c r="K6" s="13">
        <v>35301000</v>
      </c>
    </row>
    <row r="7" spans="1:11">
      <c r="A7" s="14" t="s">
        <v>26</v>
      </c>
      <c r="B7" s="4">
        <v>2614853000</v>
      </c>
      <c r="C7" s="4">
        <v>2124379000</v>
      </c>
      <c r="D7" s="4">
        <v>1807938000</v>
      </c>
      <c r="E7" s="4">
        <v>1429282000</v>
      </c>
      <c r="F7" s="4">
        <v>1436282000</v>
      </c>
      <c r="G7" s="4">
        <v>1162737000</v>
      </c>
      <c r="H7" s="7">
        <v>917039000</v>
      </c>
      <c r="I7" s="7">
        <v>951012000</v>
      </c>
      <c r="J7" s="7">
        <v>945539000</v>
      </c>
      <c r="K7" s="13">
        <v>787053000</v>
      </c>
    </row>
    <row r="8" spans="1:11">
      <c r="A8" s="85" t="s">
        <v>27</v>
      </c>
      <c r="B8" s="86"/>
      <c r="C8" s="86"/>
      <c r="D8" s="86"/>
      <c r="E8" s="86"/>
      <c r="F8" s="86"/>
      <c r="G8" s="86"/>
      <c r="H8" s="86"/>
      <c r="I8" s="86"/>
      <c r="J8" s="86"/>
      <c r="K8" s="87"/>
    </row>
    <row r="9" spans="1:11">
      <c r="A9" s="11" t="s">
        <v>22</v>
      </c>
      <c r="K9" s="1"/>
    </row>
    <row r="10" spans="1:11">
      <c r="A10" s="11" t="s">
        <v>28</v>
      </c>
      <c r="B10" s="7">
        <v>927710000</v>
      </c>
      <c r="C10" s="7">
        <v>745687000</v>
      </c>
      <c r="D10" s="7">
        <v>671693000</v>
      </c>
      <c r="E10" s="7">
        <v>567237000</v>
      </c>
      <c r="F10" s="7">
        <v>473642000</v>
      </c>
      <c r="G10" s="7">
        <v>423499000</v>
      </c>
      <c r="H10" s="7">
        <v>349605000</v>
      </c>
      <c r="I10" s="7">
        <v>296008000</v>
      </c>
      <c r="J10" s="7">
        <v>255603000</v>
      </c>
      <c r="K10" s="13">
        <v>214639000</v>
      </c>
    </row>
    <row r="11" spans="1:11">
      <c r="A11" s="11" t="s">
        <v>29</v>
      </c>
      <c r="B11" s="7">
        <v>458179000</v>
      </c>
      <c r="C11" s="7">
        <v>466957000</v>
      </c>
      <c r="D11" s="7">
        <v>24423000</v>
      </c>
      <c r="E11" s="7">
        <v>24239000</v>
      </c>
      <c r="F11" s="7">
        <v>24679000</v>
      </c>
      <c r="G11" s="7">
        <v>24557000</v>
      </c>
      <c r="H11" s="7">
        <v>24777000</v>
      </c>
      <c r="I11" s="7">
        <v>26163000</v>
      </c>
      <c r="J11" s="7">
        <v>28201000</v>
      </c>
      <c r="K11" s="13">
        <v>30201000</v>
      </c>
    </row>
    <row r="12" spans="1:11">
      <c r="A12" s="11" t="s">
        <v>30</v>
      </c>
      <c r="B12" s="7">
        <v>132102000</v>
      </c>
      <c r="C12" s="7">
        <v>106626000</v>
      </c>
      <c r="D12" s="7">
        <v>56201000</v>
      </c>
      <c r="E12" s="7">
        <v>37404000</v>
      </c>
      <c r="F12" s="7">
        <v>31389000</v>
      </c>
      <c r="G12" s="7">
        <v>20492000</v>
      </c>
      <c r="H12" s="7">
        <v>10854000</v>
      </c>
      <c r="I12" s="7">
        <v>7012000</v>
      </c>
      <c r="J12" s="7">
        <v>4745000</v>
      </c>
      <c r="K12" s="13">
        <v>4152000</v>
      </c>
    </row>
    <row r="13" spans="1:11">
      <c r="A13" s="14" t="s">
        <v>31</v>
      </c>
      <c r="B13" s="4">
        <v>1517991000</v>
      </c>
      <c r="C13" s="4">
        <v>1319270000</v>
      </c>
      <c r="D13" s="4">
        <v>1498064000</v>
      </c>
      <c r="E13" s="7">
        <v>619600000</v>
      </c>
      <c r="F13" s="7">
        <v>572659000</v>
      </c>
      <c r="G13" s="7">
        <v>505364000</v>
      </c>
      <c r="H13" s="7">
        <v>385236000</v>
      </c>
      <c r="I13" s="7">
        <v>329183000</v>
      </c>
      <c r="J13" s="7">
        <v>288549000</v>
      </c>
      <c r="K13" s="13">
        <v>264025000</v>
      </c>
    </row>
    <row r="14" spans="1:11">
      <c r="A14" s="25" t="s">
        <v>32</v>
      </c>
      <c r="B14" s="26">
        <v>4942478000</v>
      </c>
      <c r="C14" s="26">
        <v>4185215000</v>
      </c>
      <c r="D14" s="26">
        <v>3281354000</v>
      </c>
      <c r="E14" s="26">
        <v>2084711000</v>
      </c>
      <c r="F14" s="26">
        <v>1998483000</v>
      </c>
      <c r="G14" s="26">
        <v>1657541000</v>
      </c>
      <c r="H14" s="26">
        <v>1314077000</v>
      </c>
      <c r="I14" s="26">
        <v>1296213000</v>
      </c>
      <c r="J14" s="26">
        <v>1252388000</v>
      </c>
      <c r="K14" s="27">
        <v>1051078000</v>
      </c>
    </row>
    <row r="15" spans="1:11">
      <c r="A15" s="85" t="s">
        <v>33</v>
      </c>
      <c r="B15" s="86"/>
      <c r="C15" s="86"/>
      <c r="D15" s="86"/>
      <c r="E15" s="86"/>
      <c r="F15" s="86"/>
      <c r="G15" s="86"/>
      <c r="H15" s="86"/>
      <c r="I15" s="86"/>
      <c r="J15" s="86"/>
      <c r="K15" s="87"/>
    </row>
    <row r="16" spans="1:11">
      <c r="A16" s="11" t="s">
        <v>34</v>
      </c>
      <c r="B16" s="7">
        <v>289728000</v>
      </c>
      <c r="C16" s="7">
        <v>172246000</v>
      </c>
      <c r="D16" s="7">
        <v>79997000</v>
      </c>
      <c r="E16" s="7">
        <v>95533000</v>
      </c>
      <c r="F16" s="7">
        <v>24646000</v>
      </c>
      <c r="G16" s="7">
        <v>24846000</v>
      </c>
      <c r="H16" s="7">
        <v>10381000</v>
      </c>
      <c r="I16" s="7">
        <v>9339000</v>
      </c>
      <c r="J16" s="7">
        <v>12647000</v>
      </c>
      <c r="K16" s="13">
        <v>1045000</v>
      </c>
    </row>
    <row r="17" spans="1:11">
      <c r="A17" s="11" t="s">
        <v>121</v>
      </c>
      <c r="B17" s="7">
        <v>330800000</v>
      </c>
      <c r="C17" s="7">
        <v>226867000</v>
      </c>
      <c r="D17" s="7"/>
      <c r="E17" s="7"/>
      <c r="H17" s="7"/>
      <c r="I17" s="7"/>
      <c r="J17" s="7"/>
      <c r="K17" s="13">
        <v>30032000</v>
      </c>
    </row>
    <row r="18" spans="1:11">
      <c r="A18" s="11" t="s">
        <v>118</v>
      </c>
      <c r="D18" s="7">
        <v>6344000</v>
      </c>
      <c r="E18" s="7">
        <v>16241000</v>
      </c>
      <c r="F18" s="7">
        <v>13027000</v>
      </c>
      <c r="G18" s="7">
        <v>8601000</v>
      </c>
      <c r="H18" s="7">
        <v>25451000</v>
      </c>
      <c r="I18" s="7">
        <v>22296000</v>
      </c>
      <c r="J18" s="7">
        <v>15415000</v>
      </c>
      <c r="K18" s="13"/>
    </row>
    <row r="19" spans="1:11">
      <c r="A19" s="11" t="s">
        <v>120</v>
      </c>
      <c r="B19" s="7">
        <v>204921000</v>
      </c>
      <c r="C19" s="7">
        <v>130171000</v>
      </c>
      <c r="D19" s="7">
        <v>133688000</v>
      </c>
      <c r="E19" s="7">
        <v>109181000</v>
      </c>
      <c r="F19" s="7">
        <v>70141000</v>
      </c>
      <c r="G19" s="7">
        <v>55238000</v>
      </c>
      <c r="H19" s="7">
        <v>43524000</v>
      </c>
      <c r="I19" s="7">
        <v>29932000</v>
      </c>
      <c r="J19" s="7">
        <v>19445000</v>
      </c>
      <c r="K19" s="13">
        <v>27530000</v>
      </c>
    </row>
    <row r="20" spans="1:11">
      <c r="A20" s="11" t="s">
        <v>122</v>
      </c>
      <c r="B20" s="7">
        <v>188996000</v>
      </c>
      <c r="C20" s="7">
        <v>166091000</v>
      </c>
      <c r="D20" s="7">
        <v>128497000</v>
      </c>
      <c r="E20" s="7"/>
      <c r="F20" s="7"/>
      <c r="K20" s="1"/>
    </row>
    <row r="21" spans="1:11">
      <c r="A21" s="11" t="s">
        <v>123</v>
      </c>
      <c r="B21" s="7">
        <v>133852000</v>
      </c>
      <c r="C21" s="7">
        <v>8357000</v>
      </c>
      <c r="D21" s="7">
        <v>26436000</v>
      </c>
      <c r="E21" s="7">
        <v>67412000</v>
      </c>
      <c r="F21" s="7">
        <v>15700000</v>
      </c>
      <c r="G21" s="7">
        <v>30290000</v>
      </c>
      <c r="H21" s="7">
        <v>37736000</v>
      </c>
      <c r="I21" s="7">
        <v>20073000</v>
      </c>
      <c r="J21" s="7">
        <v>769000</v>
      </c>
      <c r="K21" s="13">
        <v>39637000</v>
      </c>
    </row>
    <row r="22" spans="1:11">
      <c r="A22" s="11" t="s">
        <v>124</v>
      </c>
      <c r="B22" s="7">
        <v>208195000</v>
      </c>
      <c r="C22" s="7">
        <v>155848000</v>
      </c>
      <c r="D22" s="7">
        <v>120413000</v>
      </c>
      <c r="E22" s="7">
        <v>99412000</v>
      </c>
      <c r="F22" s="7">
        <v>82668000</v>
      </c>
      <c r="G22" s="7">
        <v>70454000</v>
      </c>
      <c r="H22" s="7">
        <v>57736000</v>
      </c>
      <c r="I22" s="7">
        <v>46252000</v>
      </c>
      <c r="J22" s="7">
        <v>38343000</v>
      </c>
      <c r="K22" s="13">
        <v>35113000</v>
      </c>
    </row>
    <row r="23" spans="1:11">
      <c r="A23" s="11" t="s">
        <v>125</v>
      </c>
      <c r="B23" s="7"/>
      <c r="C23" s="7"/>
      <c r="D23" s="7"/>
      <c r="E23" s="7"/>
      <c r="F23" s="7">
        <v>6427000</v>
      </c>
      <c r="G23" s="7"/>
      <c r="H23" s="7"/>
      <c r="I23" s="7"/>
      <c r="J23" s="7"/>
      <c r="K23" s="13"/>
    </row>
    <row r="24" spans="1:11">
      <c r="A24" s="11" t="s">
        <v>36</v>
      </c>
      <c r="B24" s="7">
        <v>48842000</v>
      </c>
      <c r="C24" s="7">
        <v>23598000</v>
      </c>
      <c r="D24" s="7">
        <v>125043000</v>
      </c>
      <c r="E24" s="7">
        <v>112698000</v>
      </c>
      <c r="F24" s="7">
        <v>79989000</v>
      </c>
      <c r="G24" s="7">
        <v>52561000</v>
      </c>
      <c r="H24" s="7">
        <v>50676000</v>
      </c>
      <c r="I24" s="7">
        <v>31989000</v>
      </c>
      <c r="J24" s="7">
        <v>29595000</v>
      </c>
      <c r="K24" s="1"/>
    </row>
    <row r="25" spans="1:11">
      <c r="A25" s="14" t="s">
        <v>37</v>
      </c>
      <c r="B25" s="4">
        <v>1405334000</v>
      </c>
      <c r="C25" s="7">
        <v>883178000</v>
      </c>
      <c r="D25" s="7">
        <v>620418000</v>
      </c>
      <c r="E25" s="7">
        <v>500477000</v>
      </c>
      <c r="F25" s="7">
        <v>292598000</v>
      </c>
      <c r="G25" s="7">
        <v>241990000</v>
      </c>
      <c r="H25" s="7">
        <v>225504000</v>
      </c>
      <c r="I25" s="7">
        <v>159881000</v>
      </c>
      <c r="J25" s="7">
        <v>116214000</v>
      </c>
      <c r="K25" s="13">
        <v>133357000</v>
      </c>
    </row>
    <row r="26" spans="1:11">
      <c r="A26" s="85" t="s">
        <v>38</v>
      </c>
      <c r="B26" s="86"/>
      <c r="C26" s="86"/>
      <c r="D26" s="86"/>
      <c r="E26" s="86"/>
      <c r="F26" s="86"/>
      <c r="G26" s="86"/>
      <c r="H26" s="86"/>
      <c r="I26" s="86"/>
      <c r="J26" s="86"/>
      <c r="K26" s="87"/>
    </row>
    <row r="27" spans="1:11">
      <c r="A27" s="11" t="s">
        <v>35</v>
      </c>
      <c r="K27" s="1"/>
    </row>
    <row r="28" spans="1:11">
      <c r="A28" s="11" t="s">
        <v>39</v>
      </c>
      <c r="K28" s="1"/>
    </row>
    <row r="29" spans="1:11">
      <c r="A29" s="11" t="s">
        <v>40</v>
      </c>
      <c r="B29" s="7">
        <v>13616000</v>
      </c>
      <c r="C29" s="7">
        <v>8976000</v>
      </c>
      <c r="D29" s="7">
        <v>5596000</v>
      </c>
      <c r="E29" s="7">
        <v>81911000</v>
      </c>
      <c r="F29" s="7">
        <v>59321000</v>
      </c>
      <c r="G29" s="7">
        <v>48316000</v>
      </c>
      <c r="H29" s="7">
        <v>50332000</v>
      </c>
      <c r="I29" s="7">
        <v>43131000</v>
      </c>
      <c r="J29" s="7">
        <v>35515000</v>
      </c>
      <c r="K29" s="13">
        <v>30422000</v>
      </c>
    </row>
    <row r="30" spans="1:11">
      <c r="A30" s="14" t="s">
        <v>41</v>
      </c>
      <c r="B30" s="7">
        <v>51690000</v>
      </c>
      <c r="C30" s="7">
        <v>52126000</v>
      </c>
      <c r="D30" s="7">
        <v>53822000</v>
      </c>
      <c r="E30" s="7">
        <v>124010000</v>
      </c>
      <c r="F30" s="7">
        <v>108925000</v>
      </c>
      <c r="G30" s="7">
        <v>55578000</v>
      </c>
      <c r="H30" s="7">
        <v>50332000</v>
      </c>
      <c r="I30" s="7">
        <v>43131000</v>
      </c>
      <c r="J30" s="7">
        <v>39492000</v>
      </c>
      <c r="K30" s="13">
        <v>30422000</v>
      </c>
    </row>
    <row r="31" spans="1:11">
      <c r="A31" s="25" t="s">
        <v>42</v>
      </c>
      <c r="B31" s="26">
        <v>2202432000</v>
      </c>
      <c r="C31" s="26">
        <v>1626649000</v>
      </c>
      <c r="D31" s="26">
        <v>1329136000</v>
      </c>
      <c r="E31" s="28">
        <v>638736000</v>
      </c>
      <c r="F31" s="28">
        <v>401523000</v>
      </c>
      <c r="G31" s="28">
        <v>297568000</v>
      </c>
      <c r="H31" s="28">
        <v>286595000</v>
      </c>
      <c r="I31" s="28">
        <v>206645000</v>
      </c>
      <c r="J31" s="28">
        <v>155706000</v>
      </c>
      <c r="K31" s="29">
        <v>163779000</v>
      </c>
    </row>
    <row r="32" spans="1:11">
      <c r="A32" s="85" t="s">
        <v>43</v>
      </c>
      <c r="B32" s="86"/>
      <c r="C32" s="86"/>
      <c r="D32" s="86"/>
      <c r="E32" s="86"/>
      <c r="F32" s="86"/>
      <c r="G32" s="86"/>
      <c r="H32" s="86"/>
      <c r="I32" s="86"/>
      <c r="J32" s="86"/>
      <c r="K32" s="87"/>
    </row>
    <row r="33" spans="1:11">
      <c r="A33" s="11" t="s">
        <v>44</v>
      </c>
      <c r="B33" s="6">
        <v>616000</v>
      </c>
      <c r="C33" s="6">
        <v>626000</v>
      </c>
      <c r="D33" s="6">
        <v>621000</v>
      </c>
      <c r="E33" s="6">
        <v>608000</v>
      </c>
      <c r="F33" s="6">
        <v>628000</v>
      </c>
      <c r="G33" s="6">
        <v>637000</v>
      </c>
      <c r="H33" s="6">
        <v>637000</v>
      </c>
      <c r="I33" s="6">
        <v>661000</v>
      </c>
      <c r="J33" s="6">
        <v>577000</v>
      </c>
      <c r="K33" s="24">
        <v>562000</v>
      </c>
    </row>
    <row r="34" spans="1:11">
      <c r="A34" s="11" t="s">
        <v>45</v>
      </c>
      <c r="B34" s="7">
        <v>422507000</v>
      </c>
      <c r="C34" s="7">
        <v>388667000</v>
      </c>
      <c r="D34" s="7">
        <v>355541000</v>
      </c>
      <c r="E34" s="7">
        <v>315285000</v>
      </c>
      <c r="F34" s="7">
        <v>284253000</v>
      </c>
      <c r="G34" s="7">
        <v>266622000</v>
      </c>
      <c r="H34" s="7">
        <v>245533000</v>
      </c>
      <c r="I34" s="7">
        <v>241695000</v>
      </c>
      <c r="J34" s="7">
        <v>240351000</v>
      </c>
      <c r="K34" s="13">
        <v>221372000</v>
      </c>
    </row>
    <row r="35" spans="1:11">
      <c r="A35" s="11" t="s">
        <v>46</v>
      </c>
      <c r="B35" s="4">
        <v>2512840000</v>
      </c>
      <c r="C35" s="4">
        <v>2346428000</v>
      </c>
      <c r="D35" s="4">
        <v>1820637000</v>
      </c>
      <c r="E35" s="4">
        <v>1346890000</v>
      </c>
      <c r="F35" s="4">
        <v>1455002000</v>
      </c>
      <c r="G35" s="4">
        <v>1294214000</v>
      </c>
      <c r="H35" s="4">
        <v>1019515000</v>
      </c>
      <c r="I35" s="4">
        <v>1020619000</v>
      </c>
      <c r="J35" s="7">
        <v>923822000</v>
      </c>
      <c r="K35" s="13">
        <v>644275000</v>
      </c>
    </row>
    <row r="36" spans="1:11">
      <c r="A36" s="11" t="s">
        <v>47</v>
      </c>
      <c r="B36" s="7">
        <v>-195917000</v>
      </c>
      <c r="C36" s="7">
        <v>-177155000</v>
      </c>
      <c r="D36" s="7">
        <v>-224581000</v>
      </c>
      <c r="E36" s="7">
        <v>-216808000</v>
      </c>
      <c r="F36" s="7">
        <v>-142923000</v>
      </c>
      <c r="G36" s="7">
        <v>-201500000</v>
      </c>
      <c r="H36" s="7">
        <v>-238203000</v>
      </c>
      <c r="I36" s="7">
        <v>-173407000</v>
      </c>
      <c r="J36" s="7">
        <v>-68068000</v>
      </c>
      <c r="K36" s="13">
        <v>21090000</v>
      </c>
    </row>
    <row r="37" spans="1:11">
      <c r="A37" s="14" t="s">
        <v>48</v>
      </c>
      <c r="B37" s="4">
        <v>2740046000</v>
      </c>
      <c r="C37" s="4">
        <v>2558566000</v>
      </c>
      <c r="D37" s="4">
        <v>1952218000</v>
      </c>
      <c r="E37" s="4">
        <v>1445975000</v>
      </c>
      <c r="F37" s="4">
        <v>1596960000</v>
      </c>
      <c r="G37" s="4">
        <v>1359973000</v>
      </c>
      <c r="H37" s="4">
        <v>1027482000</v>
      </c>
      <c r="I37" s="4">
        <v>1089568000</v>
      </c>
      <c r="J37" s="4">
        <v>1096682000</v>
      </c>
      <c r="K37" s="13">
        <v>887299000</v>
      </c>
    </row>
    <row r="38" spans="1:11">
      <c r="A38" s="25" t="s">
        <v>49</v>
      </c>
      <c r="B38" s="26">
        <v>4942478000</v>
      </c>
      <c r="C38" s="26">
        <v>4185215000</v>
      </c>
      <c r="D38" s="26">
        <v>3281354000</v>
      </c>
      <c r="E38" s="26">
        <v>2084711000</v>
      </c>
      <c r="F38" s="26">
        <v>1998483000</v>
      </c>
      <c r="G38" s="26">
        <v>1657541000</v>
      </c>
      <c r="H38" s="26">
        <v>1314077000</v>
      </c>
      <c r="I38" s="26">
        <v>1296213000</v>
      </c>
      <c r="J38" s="26">
        <v>1252388000</v>
      </c>
      <c r="K38" s="27">
        <v>1051078000</v>
      </c>
    </row>
  </sheetData>
  <mergeCells count="5">
    <mergeCell ref="A32:K32"/>
    <mergeCell ref="A26:K26"/>
    <mergeCell ref="A15:K15"/>
    <mergeCell ref="A8:K8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2CDD-EB90-493C-97B1-060BE3309822}">
  <dimension ref="A1:K36"/>
  <sheetViews>
    <sheetView workbookViewId="0">
      <selection activeCell="O22" sqref="O22"/>
    </sheetView>
  </sheetViews>
  <sheetFormatPr defaultRowHeight="15"/>
  <cols>
    <col min="1" max="1" width="34.28515625" bestFit="1" customWidth="1"/>
    <col min="2" max="10" width="11.140625" bestFit="1" customWidth="1"/>
    <col min="11" max="11" width="10.42578125" bestFit="1" customWidth="1"/>
  </cols>
  <sheetData>
    <row r="1" spans="1:11">
      <c r="A1" s="8"/>
      <c r="B1" s="9">
        <v>44562</v>
      </c>
      <c r="C1" s="9">
        <v>44197</v>
      </c>
      <c r="D1" s="9">
        <v>43862</v>
      </c>
      <c r="E1" s="9">
        <v>43497</v>
      </c>
      <c r="F1" s="9">
        <v>43101</v>
      </c>
      <c r="G1" s="9">
        <v>42736</v>
      </c>
      <c r="H1" s="9">
        <v>42370</v>
      </c>
      <c r="I1" s="9">
        <v>42005</v>
      </c>
      <c r="J1" s="9">
        <v>41671</v>
      </c>
      <c r="K1" s="10">
        <v>41306</v>
      </c>
    </row>
    <row r="2" spans="1:1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>
      <c r="A3" s="11" t="s">
        <v>14</v>
      </c>
      <c r="B3" s="7">
        <v>975322000</v>
      </c>
      <c r="C3" s="7">
        <v>588913000</v>
      </c>
      <c r="D3" s="7">
        <v>645596000</v>
      </c>
      <c r="E3" s="7">
        <v>483801000</v>
      </c>
      <c r="F3" s="7">
        <v>258662000</v>
      </c>
      <c r="G3" s="7">
        <v>303381000</v>
      </c>
      <c r="H3" s="7">
        <v>266047000</v>
      </c>
      <c r="I3" s="7">
        <v>239033000</v>
      </c>
      <c r="J3" s="7">
        <v>279547000</v>
      </c>
      <c r="K3" s="13">
        <v>271431000</v>
      </c>
    </row>
    <row r="4" spans="1:11">
      <c r="A4" s="11" t="s">
        <v>51</v>
      </c>
      <c r="B4" s="7">
        <v>224206000</v>
      </c>
      <c r="C4" s="7">
        <v>185478000</v>
      </c>
      <c r="D4" s="7">
        <v>161933000</v>
      </c>
      <c r="E4" s="7">
        <v>122484000</v>
      </c>
      <c r="F4" s="7">
        <v>108235000</v>
      </c>
      <c r="G4" s="7">
        <v>87697000</v>
      </c>
      <c r="H4" s="7">
        <v>73383000</v>
      </c>
      <c r="I4" s="7">
        <v>58364000</v>
      </c>
      <c r="J4" s="7">
        <v>49068000</v>
      </c>
      <c r="K4" s="13">
        <v>43000000</v>
      </c>
    </row>
    <row r="5" spans="1:11">
      <c r="A5" s="11" t="s">
        <v>52</v>
      </c>
      <c r="B5" s="7">
        <v>-6867000</v>
      </c>
      <c r="C5" s="7">
        <v>34125000</v>
      </c>
      <c r="D5" s="7">
        <v>24394000</v>
      </c>
      <c r="E5" s="7">
        <v>18954000</v>
      </c>
      <c r="F5" s="6">
        <v>717000</v>
      </c>
      <c r="G5" s="7">
        <v>-18168000</v>
      </c>
      <c r="H5" s="7">
        <v>7375000</v>
      </c>
      <c r="I5" s="7">
        <v>1266000</v>
      </c>
      <c r="J5" s="6">
        <v>820000</v>
      </c>
      <c r="K5" s="13">
        <v>-6445000</v>
      </c>
    </row>
    <row r="6" spans="1:11">
      <c r="A6" s="11" t="s">
        <v>53</v>
      </c>
      <c r="B6" s="7">
        <v>69137000</v>
      </c>
      <c r="C6" s="7">
        <v>50797000</v>
      </c>
      <c r="D6" s="7">
        <v>45593000</v>
      </c>
      <c r="E6" s="7">
        <v>28568000</v>
      </c>
      <c r="F6" s="7">
        <v>17610000</v>
      </c>
      <c r="G6" s="7">
        <v>16822000</v>
      </c>
      <c r="H6" s="7">
        <v>10356000</v>
      </c>
      <c r="I6" s="7">
        <v>8269000</v>
      </c>
      <c r="J6" s="7">
        <v>10087000</v>
      </c>
      <c r="K6" s="13">
        <v>15637000</v>
      </c>
    </row>
    <row r="7" spans="1:11">
      <c r="A7" s="11" t="s">
        <v>54</v>
      </c>
      <c r="B7" s="7"/>
      <c r="C7" s="7"/>
      <c r="D7" s="7"/>
      <c r="E7" s="7"/>
      <c r="F7" s="7"/>
      <c r="G7" s="7"/>
      <c r="H7" s="7"/>
      <c r="I7" s="7"/>
      <c r="J7" s="7"/>
      <c r="K7" s="13"/>
    </row>
    <row r="8" spans="1:11">
      <c r="A8" s="11" t="s">
        <v>55</v>
      </c>
      <c r="B8" s="7">
        <v>-323609000</v>
      </c>
      <c r="C8" s="7">
        <v>-96548000</v>
      </c>
      <c r="D8" s="7">
        <v>-117591000</v>
      </c>
      <c r="E8" s="7">
        <v>-85942000</v>
      </c>
      <c r="F8" s="7">
        <v>-21178000</v>
      </c>
      <c r="G8" s="7">
        <v>-5403000</v>
      </c>
      <c r="H8" s="7">
        <v>-83286000</v>
      </c>
      <c r="I8" s="7">
        <v>-26806000</v>
      </c>
      <c r="J8" s="7">
        <v>-38507000</v>
      </c>
      <c r="K8" s="13">
        <v>-51222000</v>
      </c>
    </row>
    <row r="9" spans="1:11">
      <c r="A9" s="11" t="s">
        <v>34</v>
      </c>
      <c r="B9" s="7">
        <v>117655000</v>
      </c>
      <c r="C9" s="7">
        <v>82663000</v>
      </c>
      <c r="D9" s="7">
        <v>-14810000</v>
      </c>
      <c r="E9" s="7">
        <v>71962000</v>
      </c>
      <c r="F9" s="7">
        <v>-1551000</v>
      </c>
      <c r="G9" s="7">
        <v>14080000</v>
      </c>
      <c r="H9" s="7">
        <v>1247000</v>
      </c>
      <c r="I9" s="7">
        <v>-2198000</v>
      </c>
      <c r="J9" s="7">
        <v>11627000</v>
      </c>
      <c r="K9" s="13">
        <v>-13481000</v>
      </c>
    </row>
    <row r="10" spans="1:11">
      <c r="A10" s="11" t="s">
        <v>56</v>
      </c>
      <c r="B10" s="7">
        <v>71441000</v>
      </c>
      <c r="C10" s="7">
        <v>47962000</v>
      </c>
      <c r="D10" s="7">
        <v>33289000</v>
      </c>
      <c r="E10" s="7">
        <v>24885000</v>
      </c>
      <c r="F10" s="7">
        <v>17282000</v>
      </c>
      <c r="G10" s="7">
        <v>16010000</v>
      </c>
      <c r="H10" s="7">
        <v>16574000</v>
      </c>
      <c r="I10" s="7">
        <v>11326000</v>
      </c>
      <c r="J10" s="7">
        <v>9306000</v>
      </c>
      <c r="K10" s="13">
        <v>13711000</v>
      </c>
    </row>
    <row r="11" spans="1:11">
      <c r="A11" s="11" t="s">
        <v>57</v>
      </c>
      <c r="B11" s="7"/>
      <c r="C11" s="7"/>
      <c r="D11" s="7"/>
      <c r="E11" s="7"/>
      <c r="F11" s="7"/>
      <c r="G11" s="7"/>
      <c r="H11" s="7"/>
      <c r="I11" s="7"/>
      <c r="J11" s="7"/>
      <c r="K11" s="13"/>
    </row>
    <row r="12" spans="1:11">
      <c r="A12" s="14" t="s">
        <v>58</v>
      </c>
      <c r="B12" s="4">
        <v>1389108000</v>
      </c>
      <c r="C12" s="7">
        <v>803336000</v>
      </c>
      <c r="D12" s="7">
        <v>669316000</v>
      </c>
      <c r="E12" s="7">
        <v>742779000</v>
      </c>
      <c r="F12" s="7">
        <v>489337000</v>
      </c>
      <c r="G12" s="7">
        <v>386392000</v>
      </c>
      <c r="H12" s="7">
        <v>297538000</v>
      </c>
      <c r="I12" s="7">
        <v>314449000</v>
      </c>
      <c r="J12" s="7">
        <v>278339000</v>
      </c>
      <c r="K12" s="13">
        <v>280113000</v>
      </c>
    </row>
    <row r="13" spans="1:11">
      <c r="A13" s="85" t="s">
        <v>59</v>
      </c>
      <c r="B13" s="86"/>
      <c r="C13" s="86"/>
      <c r="D13" s="86"/>
      <c r="E13" s="86"/>
      <c r="F13" s="86"/>
      <c r="G13" s="86"/>
      <c r="H13" s="86"/>
      <c r="I13" s="86"/>
      <c r="J13" s="86"/>
      <c r="K13" s="87"/>
    </row>
    <row r="14" spans="1:11">
      <c r="A14" s="11" t="s">
        <v>60</v>
      </c>
      <c r="B14" s="7">
        <v>-394502000</v>
      </c>
      <c r="C14" s="7">
        <v>-229226000</v>
      </c>
      <c r="D14" s="7">
        <v>-283048000</v>
      </c>
      <c r="E14" s="7">
        <v>-225807000</v>
      </c>
      <c r="F14" s="7">
        <v>-157864000</v>
      </c>
      <c r="G14" s="7">
        <v>-149511000</v>
      </c>
      <c r="H14" s="7">
        <v>-143487000</v>
      </c>
      <c r="I14" s="7">
        <v>-119733000</v>
      </c>
      <c r="J14" s="7">
        <v>-106408000</v>
      </c>
      <c r="K14" s="13">
        <v>-93229000</v>
      </c>
    </row>
    <row r="15" spans="1:11">
      <c r="A15" s="11" t="s">
        <v>61</v>
      </c>
      <c r="C15" s="7">
        <v>-452581000</v>
      </c>
      <c r="E15">
        <v>0</v>
      </c>
      <c r="J15">
        <v>0</v>
      </c>
      <c r="K15" s="1">
        <v>0</v>
      </c>
    </row>
    <row r="16" spans="1:11">
      <c r="A16" s="11" t="s">
        <v>62</v>
      </c>
      <c r="K16" s="1"/>
    </row>
    <row r="17" spans="1:11">
      <c r="A17" s="11" t="s">
        <v>63</v>
      </c>
      <c r="K17" s="1"/>
    </row>
    <row r="18" spans="1:11">
      <c r="A18" s="11" t="s">
        <v>64</v>
      </c>
      <c r="B18" s="7">
        <v>-10000000</v>
      </c>
      <c r="C18" s="6">
        <v>882000</v>
      </c>
      <c r="D18" s="7">
        <v>4293000</v>
      </c>
      <c r="E18" s="6">
        <v>-771000</v>
      </c>
      <c r="F18" s="6">
        <v>-8325000</v>
      </c>
      <c r="G18">
        <v>0</v>
      </c>
      <c r="H18">
        <v>0</v>
      </c>
      <c r="K18" s="1"/>
    </row>
    <row r="19" spans="1:11">
      <c r="A19" s="14" t="s">
        <v>65</v>
      </c>
      <c r="B19" s="7">
        <v>-427891000</v>
      </c>
      <c r="C19" s="7">
        <v>-695532000</v>
      </c>
      <c r="D19" s="7">
        <v>-278408000</v>
      </c>
      <c r="E19" s="7">
        <v>-242794000</v>
      </c>
      <c r="F19" s="7">
        <v>-173392000</v>
      </c>
      <c r="G19" s="7">
        <v>-149511000</v>
      </c>
      <c r="H19" s="7">
        <v>-143487000</v>
      </c>
      <c r="I19" s="7">
        <v>-119733000</v>
      </c>
      <c r="J19" s="7">
        <v>-106408000</v>
      </c>
      <c r="K19" s="13">
        <v>-93229000</v>
      </c>
    </row>
    <row r="20" spans="1:11">
      <c r="A20" s="85" t="s">
        <v>66</v>
      </c>
      <c r="B20" s="86"/>
      <c r="C20" s="86"/>
      <c r="D20" s="86"/>
      <c r="E20" s="86"/>
      <c r="F20" s="86"/>
      <c r="G20" s="86"/>
      <c r="H20" s="86"/>
      <c r="I20" s="86"/>
      <c r="J20" s="86"/>
      <c r="K20" s="87"/>
    </row>
    <row r="21" spans="1:11">
      <c r="A21" s="11" t="s">
        <v>67</v>
      </c>
      <c r="K21" s="1"/>
    </row>
    <row r="22" spans="1:11">
      <c r="A22" s="11" t="s">
        <v>68</v>
      </c>
      <c r="K22" s="1"/>
    </row>
    <row r="23" spans="1:11">
      <c r="A23" s="11" t="s">
        <v>69</v>
      </c>
      <c r="K23" s="1"/>
    </row>
    <row r="24" spans="1:11">
      <c r="A24" s="11" t="s">
        <v>70</v>
      </c>
      <c r="B24" s="7">
        <v>18194000</v>
      </c>
      <c r="C24" s="7">
        <v>15263000</v>
      </c>
      <c r="D24" s="7">
        <v>18170000</v>
      </c>
      <c r="E24" s="7">
        <v>17650000</v>
      </c>
      <c r="F24" s="7">
        <v>5628000</v>
      </c>
      <c r="G24" s="7">
        <v>6907000</v>
      </c>
      <c r="H24" s="7">
        <v>4704000</v>
      </c>
      <c r="I24" s="7">
        <v>2913000</v>
      </c>
      <c r="J24" s="7">
        <v>8171000</v>
      </c>
      <c r="K24" s="13">
        <v>11014000</v>
      </c>
    </row>
    <row r="25" spans="1:11">
      <c r="A25" s="11" t="s">
        <v>71</v>
      </c>
      <c r="B25" s="7">
        <v>-812602000</v>
      </c>
      <c r="C25" s="7">
        <v>-63663000</v>
      </c>
      <c r="D25" s="7">
        <v>-173399000</v>
      </c>
      <c r="E25" s="7">
        <v>-598340000</v>
      </c>
      <c r="F25" s="7">
        <v>-100261000</v>
      </c>
      <c r="G25" s="7">
        <v>-29327000</v>
      </c>
      <c r="H25" s="7">
        <v>-274193000</v>
      </c>
      <c r="I25" s="7">
        <v>-147431000</v>
      </c>
      <c r="J25">
        <v>0</v>
      </c>
      <c r="K25" s="1">
        <v>0</v>
      </c>
    </row>
    <row r="26" spans="1:11">
      <c r="A26" s="11" t="s">
        <v>72</v>
      </c>
      <c r="K26" s="1"/>
    </row>
    <row r="27" spans="1:11">
      <c r="A27" s="11" t="s">
        <v>73</v>
      </c>
      <c r="B27" s="6">
        <v>-770000</v>
      </c>
      <c r="E27" s="6">
        <v>-745000</v>
      </c>
      <c r="G27" s="6">
        <v>-923000</v>
      </c>
      <c r="K27" s="1"/>
    </row>
    <row r="28" spans="1:11">
      <c r="A28" s="14" t="s">
        <v>74</v>
      </c>
      <c r="B28" s="7">
        <v>-844987000</v>
      </c>
      <c r="C28" s="7">
        <v>-80788000</v>
      </c>
      <c r="D28" s="7">
        <v>-177173000</v>
      </c>
      <c r="E28" s="7">
        <v>-590214000</v>
      </c>
      <c r="F28" s="7">
        <v>-97862000</v>
      </c>
      <c r="G28" s="7">
        <v>-26611000</v>
      </c>
      <c r="H28" s="7">
        <v>-272491000</v>
      </c>
      <c r="I28" s="7">
        <v>-149077000</v>
      </c>
      <c r="J28" s="7">
        <v>8907000</v>
      </c>
      <c r="K28" s="13">
        <v>-5491000</v>
      </c>
    </row>
    <row r="29" spans="1:11">
      <c r="A29" s="85" t="s">
        <v>75</v>
      </c>
      <c r="B29" s="86"/>
      <c r="C29" s="86"/>
      <c r="D29" s="86"/>
      <c r="E29" s="86"/>
      <c r="F29" s="86"/>
      <c r="G29" s="86"/>
      <c r="H29" s="86"/>
      <c r="I29" s="86"/>
      <c r="J29" s="86"/>
      <c r="K29" s="87"/>
    </row>
    <row r="30" spans="1:11">
      <c r="A30" s="11" t="s">
        <v>76</v>
      </c>
      <c r="B30" s="4">
        <v>1150517000</v>
      </c>
      <c r="C30" s="4">
        <v>1093505000</v>
      </c>
      <c r="D30" s="7">
        <v>881320000</v>
      </c>
      <c r="E30" s="7">
        <v>990501000</v>
      </c>
      <c r="F30" s="7">
        <v>734846000</v>
      </c>
      <c r="G30" s="7">
        <v>501482000</v>
      </c>
      <c r="H30" s="7">
        <v>664479000</v>
      </c>
      <c r="I30" s="7">
        <v>698649000</v>
      </c>
      <c r="J30" s="7">
        <v>590179000</v>
      </c>
      <c r="K30" s="13"/>
    </row>
    <row r="31" spans="1:11">
      <c r="A31" s="11" t="s">
        <v>77</v>
      </c>
      <c r="B31" s="4">
        <v>1259871000</v>
      </c>
      <c r="C31" s="4">
        <v>1150517000</v>
      </c>
      <c r="D31" s="4">
        <v>1093505000</v>
      </c>
      <c r="E31" s="7">
        <v>881320000</v>
      </c>
      <c r="F31" s="7">
        <v>990501000</v>
      </c>
      <c r="G31" s="7">
        <v>734846000</v>
      </c>
      <c r="H31" s="7">
        <v>501482000</v>
      </c>
      <c r="I31" s="7">
        <v>664479000</v>
      </c>
      <c r="J31" s="7">
        <v>698649000</v>
      </c>
      <c r="K31" s="13">
        <v>590179000</v>
      </c>
    </row>
    <row r="32" spans="1:11">
      <c r="A32" s="11" t="s">
        <v>78</v>
      </c>
      <c r="B32" s="7">
        <v>109354000</v>
      </c>
      <c r="C32" s="7">
        <v>57012000</v>
      </c>
      <c r="D32" s="7">
        <v>212185000</v>
      </c>
      <c r="E32" s="7">
        <v>-109181000</v>
      </c>
      <c r="F32" s="7">
        <v>255655000</v>
      </c>
      <c r="G32" s="7">
        <v>233364000</v>
      </c>
      <c r="H32" s="7">
        <v>-162997000</v>
      </c>
      <c r="I32" s="7">
        <v>-34170000</v>
      </c>
      <c r="J32" s="7">
        <v>108470000</v>
      </c>
      <c r="K32" s="13"/>
    </row>
    <row r="33" spans="1:11">
      <c r="A33" s="85" t="s">
        <v>79</v>
      </c>
      <c r="B33" s="86"/>
      <c r="C33" s="86"/>
      <c r="D33" s="86"/>
      <c r="E33" s="86"/>
      <c r="F33" s="86"/>
      <c r="G33" s="86"/>
      <c r="H33" s="86"/>
      <c r="I33" s="86"/>
      <c r="J33" s="86"/>
      <c r="K33" s="87"/>
    </row>
    <row r="34" spans="1:11">
      <c r="A34" s="11" t="s">
        <v>58</v>
      </c>
      <c r="B34" s="4">
        <v>1389108000</v>
      </c>
      <c r="C34" s="7">
        <v>803336000</v>
      </c>
      <c r="D34" s="7">
        <v>669316000</v>
      </c>
      <c r="E34" s="7">
        <v>742779000</v>
      </c>
      <c r="F34" s="7">
        <v>489337000</v>
      </c>
      <c r="G34" s="7">
        <v>386392000</v>
      </c>
      <c r="H34" s="7">
        <v>297538000</v>
      </c>
      <c r="I34" s="7">
        <v>314449000</v>
      </c>
      <c r="J34" s="7">
        <v>278339000</v>
      </c>
      <c r="K34" s="13">
        <v>280113000</v>
      </c>
    </row>
    <row r="35" spans="1:11">
      <c r="A35" s="11" t="s">
        <v>80</v>
      </c>
      <c r="B35" s="7">
        <v>-394502000</v>
      </c>
      <c r="C35" s="7">
        <v>-229226000</v>
      </c>
      <c r="D35" s="7">
        <v>-283048000</v>
      </c>
      <c r="E35" s="7">
        <v>-225807000</v>
      </c>
      <c r="F35" s="7">
        <v>-157864000</v>
      </c>
      <c r="G35" s="7">
        <v>-149511000</v>
      </c>
      <c r="H35" s="7">
        <v>-143487000</v>
      </c>
      <c r="I35" s="7">
        <v>-119733000</v>
      </c>
      <c r="J35" s="7">
        <v>-106408000</v>
      </c>
      <c r="K35" s="13">
        <v>-93229000</v>
      </c>
    </row>
    <row r="36" spans="1:11">
      <c r="A36" s="23" t="s">
        <v>79</v>
      </c>
      <c r="B36" s="3">
        <v>994606000</v>
      </c>
      <c r="C36" s="3">
        <v>574110000</v>
      </c>
      <c r="D36" s="3">
        <v>386268000</v>
      </c>
      <c r="E36" s="3">
        <v>516972000</v>
      </c>
      <c r="F36" s="3">
        <v>331473000</v>
      </c>
      <c r="G36" s="3">
        <v>236881000</v>
      </c>
      <c r="H36" s="3">
        <v>154051000</v>
      </c>
      <c r="I36" s="3">
        <v>194716000</v>
      </c>
      <c r="J36" s="3">
        <v>171931000</v>
      </c>
      <c r="K36" s="16">
        <v>186884000</v>
      </c>
    </row>
  </sheetData>
  <mergeCells count="5">
    <mergeCell ref="A2:K2"/>
    <mergeCell ref="A13:K13"/>
    <mergeCell ref="A20:K20"/>
    <mergeCell ref="A29:K29"/>
    <mergeCell ref="A33:K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135A-2A3B-4168-AAFC-0F3950047B82}">
  <dimension ref="A1:P31"/>
  <sheetViews>
    <sheetView workbookViewId="0">
      <selection activeCell="B20" sqref="B20:P20"/>
    </sheetView>
  </sheetViews>
  <sheetFormatPr defaultRowHeight="15"/>
  <cols>
    <col min="1" max="1" width="38.5703125" bestFit="1" customWidth="1"/>
    <col min="2" max="2" width="14" customWidth="1"/>
    <col min="3" max="11" width="13.5703125" bestFit="1" customWidth="1"/>
    <col min="12" max="15" width="13.7109375" bestFit="1" customWidth="1"/>
    <col min="16" max="16" width="13.85546875" bestFit="1" customWidth="1"/>
  </cols>
  <sheetData>
    <row r="1" spans="1:16">
      <c r="A1" s="35" t="s">
        <v>81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6">
      <c r="A2" s="38" t="s">
        <v>82</v>
      </c>
      <c r="B2" s="30">
        <v>41306</v>
      </c>
      <c r="C2" s="30">
        <v>41671</v>
      </c>
      <c r="D2" s="30">
        <v>42005</v>
      </c>
      <c r="E2" s="30">
        <v>42370</v>
      </c>
      <c r="F2" s="30">
        <v>42736</v>
      </c>
      <c r="G2" s="30">
        <v>43101</v>
      </c>
      <c r="H2" s="30">
        <v>43497</v>
      </c>
      <c r="I2" s="30">
        <v>43862</v>
      </c>
      <c r="J2" s="30">
        <v>44197</v>
      </c>
      <c r="K2" s="30">
        <v>44562</v>
      </c>
      <c r="L2" s="31">
        <v>44927</v>
      </c>
      <c r="M2" s="31">
        <v>45292</v>
      </c>
      <c r="N2" s="31">
        <v>45658</v>
      </c>
      <c r="O2" s="31">
        <v>46023</v>
      </c>
      <c r="P2" s="39">
        <v>46388</v>
      </c>
    </row>
    <row r="3" spans="1:16">
      <c r="A3" s="40" t="s">
        <v>83</v>
      </c>
      <c r="B3" s="41">
        <f>'Income Statement'!K2</f>
        <v>1370358000</v>
      </c>
      <c r="C3" s="41">
        <f>'Income Statement'!J2</f>
        <v>1591188000</v>
      </c>
      <c r="D3" s="41">
        <f>'Income Statement'!I2</f>
        <v>1797213000</v>
      </c>
      <c r="E3" s="41">
        <f>'Income Statement'!H2</f>
        <v>2060523000</v>
      </c>
      <c r="F3" s="41">
        <f>'Income Statement'!G2</f>
        <v>2344392000</v>
      </c>
      <c r="G3" s="41">
        <f>'Income Statement'!F2</f>
        <v>2649181000</v>
      </c>
      <c r="H3" s="41">
        <f>'Income Statement'!E2</f>
        <v>3288319000</v>
      </c>
      <c r="I3" s="41">
        <f>'Income Statement'!D2</f>
        <v>3979296000</v>
      </c>
      <c r="J3" s="41">
        <f>'Income Statement'!C2</f>
        <v>4401879000</v>
      </c>
      <c r="K3" s="41">
        <f>'Income Statement'!B2</f>
        <v>6256617000</v>
      </c>
      <c r="L3" s="67">
        <f>K3*(1+L24)</f>
        <v>6972999646.5</v>
      </c>
      <c r="M3" s="67">
        <f t="shared" ref="M3:P3" si="0">L3*(1+M24)</f>
        <v>7771408106.02425</v>
      </c>
      <c r="N3" s="67">
        <f t="shared" si="0"/>
        <v>8661234334.1640263</v>
      </c>
      <c r="O3" s="67">
        <f t="shared" si="0"/>
        <v>9652945665.425808</v>
      </c>
      <c r="P3" s="68">
        <f t="shared" si="0"/>
        <v>10758207944.117064</v>
      </c>
    </row>
    <row r="4" spans="1:16">
      <c r="A4" s="42" t="s">
        <v>84</v>
      </c>
      <c r="B4" s="33">
        <f>'Income Statement'!K3</f>
        <v>607352000</v>
      </c>
      <c r="C4" s="33">
        <f>'Income Statement'!J3</f>
        <v>751112000</v>
      </c>
      <c r="D4" s="33">
        <f>'Income Statement'!I3</f>
        <v>883033000</v>
      </c>
      <c r="E4" s="33">
        <f>'Income Statement'!H3</f>
        <v>1063357000</v>
      </c>
      <c r="F4" s="33">
        <f>'Income Statement'!G3</f>
        <v>1144775000</v>
      </c>
      <c r="G4" s="33">
        <f>'Income Statement'!F3</f>
        <v>1250391000</v>
      </c>
      <c r="H4" s="33">
        <f>'Income Statement'!E3</f>
        <v>1472032000</v>
      </c>
      <c r="I4" s="33">
        <f>'Income Statement'!D3</f>
        <v>1755910000</v>
      </c>
      <c r="J4" s="33">
        <f>'Income Statement'!C3</f>
        <v>1937888000</v>
      </c>
      <c r="K4" s="33">
        <f>'Income Statement'!B3</f>
        <v>2648052000</v>
      </c>
      <c r="L4" s="65">
        <f>L3*L26</f>
        <v>3232222903.197897</v>
      </c>
      <c r="M4" s="65">
        <f t="shared" ref="M4:P4" si="1">M3*M26</f>
        <v>3602312425.6140561</v>
      </c>
      <c r="N4" s="65">
        <f t="shared" si="1"/>
        <v>4014777198.3468652</v>
      </c>
      <c r="O4" s="65">
        <f t="shared" si="1"/>
        <v>4474469187.5575819</v>
      </c>
      <c r="P4" s="66">
        <f t="shared" si="1"/>
        <v>4986795909.5329247</v>
      </c>
    </row>
    <row r="5" spans="1:16">
      <c r="A5" s="44" t="s">
        <v>2</v>
      </c>
      <c r="B5" s="45">
        <f>'Income Statement'!K4</f>
        <v>762826000</v>
      </c>
      <c r="C5" s="45">
        <f>'Income Statement'!J4</f>
        <v>840076000</v>
      </c>
      <c r="D5" s="45">
        <f>'Income Statement'!I4</f>
        <v>914180000</v>
      </c>
      <c r="E5" s="45">
        <f>'Income Statement'!H4</f>
        <v>997166000</v>
      </c>
      <c r="F5" s="45">
        <f>'Income Statement'!G4</f>
        <v>1199617000</v>
      </c>
      <c r="G5" s="45">
        <f>'Income Statement'!F4</f>
        <v>1398790000</v>
      </c>
      <c r="H5" s="45">
        <f>'Income Statement'!E4</f>
        <v>1816287000</v>
      </c>
      <c r="I5" s="45">
        <f>'Income Statement'!D4</f>
        <v>2223386000</v>
      </c>
      <c r="J5" s="45">
        <f>'Income Statement'!C4</f>
        <v>2463991000</v>
      </c>
      <c r="K5" s="45">
        <f>'Income Statement'!B4</f>
        <v>3608565000</v>
      </c>
      <c r="L5" s="45">
        <f>L3-L4</f>
        <v>3740776743.302103</v>
      </c>
      <c r="M5" s="45">
        <f t="shared" ref="M5:P5" si="2">M3-M4</f>
        <v>4169095680.4101939</v>
      </c>
      <c r="N5" s="45">
        <f t="shared" si="2"/>
        <v>4646457135.8171616</v>
      </c>
      <c r="O5" s="45">
        <f t="shared" si="2"/>
        <v>5178476477.8682261</v>
      </c>
      <c r="P5" s="69">
        <f t="shared" si="2"/>
        <v>5771412034.5841389</v>
      </c>
    </row>
    <row r="6" spans="1:16">
      <c r="A6" s="32" t="s">
        <v>85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6"/>
    </row>
    <row r="7" spans="1:16">
      <c r="A7" s="40" t="s">
        <v>86</v>
      </c>
      <c r="B7" s="41">
        <f>'Income Statement'!K7</f>
        <v>386387000</v>
      </c>
      <c r="C7" s="41">
        <f>'Income Statement'!J7</f>
        <v>448718000</v>
      </c>
      <c r="D7" s="41">
        <f>'Income Statement'!I7</f>
        <v>538147000</v>
      </c>
      <c r="E7" s="41">
        <f>'Income Statement'!H7</f>
        <v>628090000</v>
      </c>
      <c r="F7" s="41">
        <f>'Income Statement'!G7</f>
        <v>778465000</v>
      </c>
      <c r="G7" s="41">
        <f>'Income Statement'!F7</f>
        <v>904264000</v>
      </c>
      <c r="H7" s="41">
        <f>'Income Statement'!E7</f>
        <v>1110379000</v>
      </c>
      <c r="I7" s="41">
        <f>'Income Statement'!D7</f>
        <v>1334247000</v>
      </c>
      <c r="J7" s="41">
        <f>'Income Statement'!C7</f>
        <v>1609003000</v>
      </c>
      <c r="K7" s="41">
        <f>'Income Statement'!B7</f>
        <v>2225034000</v>
      </c>
      <c r="L7" s="41">
        <f>L3*L27</f>
        <v>2256277887.0302429</v>
      </c>
      <c r="M7" s="41">
        <f t="shared" ref="M7:P7" si="3">M3*M27</f>
        <v>2514621705.0952058</v>
      </c>
      <c r="N7" s="41">
        <f t="shared" si="3"/>
        <v>2802545890.3286066</v>
      </c>
      <c r="O7" s="41">
        <f t="shared" si="3"/>
        <v>3123437394.7712326</v>
      </c>
      <c r="P7" s="41">
        <f t="shared" si="3"/>
        <v>3481070976.4725385</v>
      </c>
    </row>
    <row r="8" spans="1:16">
      <c r="A8" s="42" t="s">
        <v>6</v>
      </c>
      <c r="B8" s="33">
        <f>'Income Statement'!K8</f>
        <v>386387000</v>
      </c>
      <c r="C8" s="33">
        <f>'Income Statement'!J8</f>
        <v>448718000</v>
      </c>
      <c r="D8" s="33">
        <f>'Income Statement'!I8</f>
        <v>538147000</v>
      </c>
      <c r="E8" s="33">
        <f>'Income Statement'!H8</f>
        <v>628090000</v>
      </c>
      <c r="F8" s="33">
        <f>'Income Statement'!G8</f>
        <v>778465000</v>
      </c>
      <c r="G8" s="33">
        <f>'Income Statement'!F8</f>
        <v>942789000</v>
      </c>
      <c r="H8" s="33">
        <f>'Income Statement'!E8</f>
        <v>1110451000</v>
      </c>
      <c r="I8" s="33">
        <f>'Income Statement'!D8</f>
        <v>1334276000</v>
      </c>
      <c r="J8" s="33">
        <f>'Income Statement'!C8</f>
        <v>1644005000</v>
      </c>
      <c r="K8" s="33">
        <f>'Income Statement'!B8</f>
        <v>2275210000</v>
      </c>
      <c r="L8" s="33">
        <f>L7</f>
        <v>2256277887.0302429</v>
      </c>
      <c r="M8" s="33">
        <f t="shared" ref="M8:P8" si="4">M7</f>
        <v>2514621705.0952058</v>
      </c>
      <c r="N8" s="33">
        <f t="shared" si="4"/>
        <v>2802545890.3286066</v>
      </c>
      <c r="O8" s="33">
        <f t="shared" si="4"/>
        <v>3123437394.7712326</v>
      </c>
      <c r="P8" s="33">
        <f t="shared" si="4"/>
        <v>3481070976.4725385</v>
      </c>
    </row>
    <row r="9" spans="1:16">
      <c r="A9" s="44" t="s">
        <v>87</v>
      </c>
      <c r="B9" s="45">
        <f>B5-B8</f>
        <v>376439000</v>
      </c>
      <c r="C9" s="45">
        <f t="shared" ref="C9:K9" si="5">C5-C8</f>
        <v>391358000</v>
      </c>
      <c r="D9" s="45">
        <f t="shared" si="5"/>
        <v>376033000</v>
      </c>
      <c r="E9" s="45">
        <f t="shared" si="5"/>
        <v>369076000</v>
      </c>
      <c r="F9" s="45">
        <f t="shared" si="5"/>
        <v>421152000</v>
      </c>
      <c r="G9" s="45">
        <f t="shared" si="5"/>
        <v>456001000</v>
      </c>
      <c r="H9" s="45">
        <f t="shared" si="5"/>
        <v>705836000</v>
      </c>
      <c r="I9" s="45">
        <f t="shared" si="5"/>
        <v>889110000</v>
      </c>
      <c r="J9" s="45">
        <f t="shared" si="5"/>
        <v>819986000</v>
      </c>
      <c r="K9" s="45">
        <f t="shared" si="5"/>
        <v>1333355000</v>
      </c>
      <c r="L9" s="45">
        <f>L5-L8</f>
        <v>1484498856.2718601</v>
      </c>
      <c r="M9" s="45">
        <f t="shared" ref="M9:P9" si="6">M5-M8</f>
        <v>1654473975.3149881</v>
      </c>
      <c r="N9" s="45">
        <f t="shared" si="6"/>
        <v>1843911245.488555</v>
      </c>
      <c r="O9" s="45">
        <f t="shared" si="6"/>
        <v>2055039083.0969934</v>
      </c>
      <c r="P9" s="45">
        <f t="shared" si="6"/>
        <v>2290341058.1116004</v>
      </c>
    </row>
    <row r="10" spans="1:16">
      <c r="A10" s="42" t="s">
        <v>51</v>
      </c>
      <c r="B10" s="33">
        <f>'Cash Flow Statements'!K4</f>
        <v>43000000</v>
      </c>
      <c r="C10" s="33">
        <f>'Cash Flow Statements'!J4</f>
        <v>49068000</v>
      </c>
      <c r="D10" s="33">
        <f>'Cash Flow Statements'!I4</f>
        <v>58364000</v>
      </c>
      <c r="E10" s="33">
        <f>'Cash Flow Statements'!H4</f>
        <v>73383000</v>
      </c>
      <c r="F10" s="33">
        <f>'Cash Flow Statements'!G4</f>
        <v>87697000</v>
      </c>
      <c r="G10" s="33">
        <f>'Cash Flow Statements'!F4</f>
        <v>108235000</v>
      </c>
      <c r="H10" s="33">
        <f>'Cash Flow Statements'!E4</f>
        <v>122484000</v>
      </c>
      <c r="I10" s="33">
        <f>'Cash Flow Statements'!D4</f>
        <v>161933000</v>
      </c>
      <c r="J10" s="33">
        <f>'Cash Flow Statements'!C4</f>
        <v>185478000</v>
      </c>
      <c r="K10" s="33">
        <f>'Cash Flow Statements'!B4</f>
        <v>224206000</v>
      </c>
      <c r="L10" s="33">
        <f>'Projected Fixed Assets'!L4</f>
        <v>240396072.70394117</v>
      </c>
      <c r="M10" s="33">
        <f>'Projected Fixed Assets'!M4</f>
        <v>283020358.84382755</v>
      </c>
      <c r="N10" s="33">
        <f>'Projected Fixed Assets'!N4</f>
        <v>333202296.60630268</v>
      </c>
      <c r="O10" s="33">
        <f>'Projected Fixed Assets'!O4</f>
        <v>392281922.46402365</v>
      </c>
      <c r="P10" s="43">
        <f>'Projected Fixed Assets'!P4</f>
        <v>461836872.85293299</v>
      </c>
    </row>
    <row r="11" spans="1:16">
      <c r="A11" s="44" t="s">
        <v>88</v>
      </c>
      <c r="B11" s="45">
        <f>B9-B10</f>
        <v>333439000</v>
      </c>
      <c r="C11" s="45">
        <f t="shared" ref="C11:P11" si="7">C9-C10</f>
        <v>342290000</v>
      </c>
      <c r="D11" s="45">
        <f t="shared" si="7"/>
        <v>317669000</v>
      </c>
      <c r="E11" s="45">
        <f t="shared" si="7"/>
        <v>295693000</v>
      </c>
      <c r="F11" s="45">
        <f t="shared" si="7"/>
        <v>333455000</v>
      </c>
      <c r="G11" s="45">
        <f t="shared" si="7"/>
        <v>347766000</v>
      </c>
      <c r="H11" s="45">
        <f t="shared" si="7"/>
        <v>583352000</v>
      </c>
      <c r="I11" s="45">
        <f t="shared" si="7"/>
        <v>727177000</v>
      </c>
      <c r="J11" s="45">
        <f t="shared" si="7"/>
        <v>634508000</v>
      </c>
      <c r="K11" s="45">
        <f t="shared" si="7"/>
        <v>1109149000</v>
      </c>
      <c r="L11" s="45">
        <f t="shared" si="7"/>
        <v>1244102783.567919</v>
      </c>
      <c r="M11" s="45">
        <f t="shared" si="7"/>
        <v>1371453616.4711607</v>
      </c>
      <c r="N11" s="45">
        <f t="shared" si="7"/>
        <v>1510708948.8822522</v>
      </c>
      <c r="O11" s="45">
        <f t="shared" si="7"/>
        <v>1662757160.6329699</v>
      </c>
      <c r="P11" s="45">
        <f t="shared" si="7"/>
        <v>1828504185.2586675</v>
      </c>
    </row>
    <row r="12" spans="1:16">
      <c r="A12" s="42" t="s">
        <v>89</v>
      </c>
      <c r="B12" s="33">
        <f>'Income Statement'!K14</f>
        <v>109965000</v>
      </c>
      <c r="C12" s="33">
        <f>'Income Statement'!J14</f>
        <v>117579000</v>
      </c>
      <c r="D12" s="33">
        <f>'Income Statement'!I14</f>
        <v>144102000</v>
      </c>
      <c r="E12" s="33">
        <f>'Income Statement'!H14</f>
        <v>102448000</v>
      </c>
      <c r="F12" s="33">
        <f>'Income Statement'!G14</f>
        <v>119348000</v>
      </c>
      <c r="G12" s="33">
        <f>'Income Statement'!F14</f>
        <v>201336000</v>
      </c>
      <c r="H12" s="33">
        <f>'Income Statement'!E14</f>
        <v>231449000</v>
      </c>
      <c r="I12" s="33">
        <f>'Income Statement'!D14</f>
        <v>251797000</v>
      </c>
      <c r="J12" s="33">
        <f>'Income Statement'!C14</f>
        <v>230437000</v>
      </c>
      <c r="K12" s="33">
        <f>'Income Statement'!B14</f>
        <v>358547000</v>
      </c>
      <c r="L12" s="33">
        <f>L11*L28</f>
        <v>477698554.18703401</v>
      </c>
      <c r="M12" s="33">
        <f t="shared" ref="M12:P12" si="8">M11*M28</f>
        <v>526597495.30018353</v>
      </c>
      <c r="N12" s="33">
        <f t="shared" si="8"/>
        <v>580067410.99704981</v>
      </c>
      <c r="O12" s="33">
        <f t="shared" si="8"/>
        <v>638449412.7732532</v>
      </c>
      <c r="P12" s="33">
        <f t="shared" si="8"/>
        <v>702091352.22573888</v>
      </c>
    </row>
    <row r="13" spans="1:16">
      <c r="A13" s="44" t="s">
        <v>90</v>
      </c>
      <c r="B13" s="45">
        <f>B11-B12</f>
        <v>223474000</v>
      </c>
      <c r="C13" s="45">
        <f t="shared" ref="C13:P13" si="9">C11-C12</f>
        <v>224711000</v>
      </c>
      <c r="D13" s="45">
        <f t="shared" si="9"/>
        <v>173567000</v>
      </c>
      <c r="E13" s="45">
        <f t="shared" si="9"/>
        <v>193245000</v>
      </c>
      <c r="F13" s="45">
        <f t="shared" si="9"/>
        <v>214107000</v>
      </c>
      <c r="G13" s="45">
        <f t="shared" si="9"/>
        <v>146430000</v>
      </c>
      <c r="H13" s="45">
        <f t="shared" si="9"/>
        <v>351903000</v>
      </c>
      <c r="I13" s="45">
        <f t="shared" si="9"/>
        <v>475380000</v>
      </c>
      <c r="J13" s="45">
        <f t="shared" si="9"/>
        <v>404071000</v>
      </c>
      <c r="K13" s="45">
        <f t="shared" si="9"/>
        <v>750602000</v>
      </c>
      <c r="L13" s="45">
        <f t="shared" si="9"/>
        <v>766404229.380885</v>
      </c>
      <c r="M13" s="45">
        <f t="shared" si="9"/>
        <v>844856121.17097712</v>
      </c>
      <c r="N13" s="45">
        <f t="shared" si="9"/>
        <v>930641537.88520241</v>
      </c>
      <c r="O13" s="45">
        <f t="shared" si="9"/>
        <v>1024307747.8597167</v>
      </c>
      <c r="P13" s="45">
        <f t="shared" si="9"/>
        <v>1126412833.0329285</v>
      </c>
    </row>
    <row r="14" spans="1:16">
      <c r="A14" s="40" t="s">
        <v>91</v>
      </c>
      <c r="B14" s="41">
        <f>B10</f>
        <v>43000000</v>
      </c>
      <c r="C14" s="41">
        <f t="shared" ref="C14:K14" si="10">C10</f>
        <v>49068000</v>
      </c>
      <c r="D14" s="41">
        <f t="shared" si="10"/>
        <v>58364000</v>
      </c>
      <c r="E14" s="41">
        <f t="shared" si="10"/>
        <v>73383000</v>
      </c>
      <c r="F14" s="41">
        <f t="shared" si="10"/>
        <v>87697000</v>
      </c>
      <c r="G14" s="41">
        <f t="shared" si="10"/>
        <v>108235000</v>
      </c>
      <c r="H14" s="41">
        <f t="shared" si="10"/>
        <v>122484000</v>
      </c>
      <c r="I14" s="41">
        <f t="shared" si="10"/>
        <v>161933000</v>
      </c>
      <c r="J14" s="41">
        <f t="shared" si="10"/>
        <v>185478000</v>
      </c>
      <c r="K14" s="41">
        <f t="shared" si="10"/>
        <v>224206000</v>
      </c>
      <c r="L14" s="41">
        <f>'Projected Fixed Assets'!L4</f>
        <v>240396072.70394117</v>
      </c>
      <c r="M14" s="41">
        <f>'Projected Fixed Assets'!M4</f>
        <v>283020358.84382755</v>
      </c>
      <c r="N14" s="41">
        <f>'Projected Fixed Assets'!N4</f>
        <v>333202296.60630268</v>
      </c>
      <c r="O14" s="41">
        <f>'Projected Fixed Assets'!O4</f>
        <v>392281922.46402365</v>
      </c>
      <c r="P14" s="47">
        <f>'Projected Fixed Assets'!P4</f>
        <v>461836872.85293299</v>
      </c>
    </row>
    <row r="15" spans="1:16">
      <c r="A15" s="40" t="s">
        <v>101</v>
      </c>
      <c r="B15" s="41">
        <f>'Cash Flow Statements'!K14</f>
        <v>-93229000</v>
      </c>
      <c r="C15" s="41">
        <f>'Cash Flow Statements'!J14</f>
        <v>-106408000</v>
      </c>
      <c r="D15" s="41">
        <f>'Cash Flow Statements'!I14</f>
        <v>-119733000</v>
      </c>
      <c r="E15" s="41">
        <f>'Cash Flow Statements'!H14</f>
        <v>-143487000</v>
      </c>
      <c r="F15" s="41">
        <f>'Cash Flow Statements'!G14</f>
        <v>-149511000</v>
      </c>
      <c r="G15" s="41">
        <f>'Cash Flow Statements'!F14</f>
        <v>-157864000</v>
      </c>
      <c r="H15" s="41">
        <f>'Cash Flow Statements'!E14</f>
        <v>-225807000</v>
      </c>
      <c r="I15" s="41">
        <f>'Cash Flow Statements'!D14</f>
        <v>-283048000</v>
      </c>
      <c r="J15" s="41">
        <f>'Cash Flow Statements'!C14</f>
        <v>-229226000</v>
      </c>
      <c r="K15" s="41">
        <f>'Cash Flow Statements'!B14</f>
        <v>-394502000</v>
      </c>
      <c r="L15" s="41">
        <f>-1*'Projected Fixed Assets'!L5</f>
        <v>-404887014.88140738</v>
      </c>
      <c r="M15" s="41">
        <f>-1*'Projected Fixed Assets'!M5</f>
        <v>-476676956.29980814</v>
      </c>
      <c r="N15" s="41">
        <f>-1*'Projected Fixed Assets'!N5</f>
        <v>-561195870.24494445</v>
      </c>
      <c r="O15" s="41">
        <f>-1*'Projected Fixed Assets'!O5</f>
        <v>-660700712.75251043</v>
      </c>
      <c r="P15" s="47">
        <f>-1*'Projected Fixed Assets'!P5</f>
        <v>-777848617.52661443</v>
      </c>
    </row>
    <row r="16" spans="1:16">
      <c r="A16" s="40" t="s">
        <v>92</v>
      </c>
      <c r="B16" s="41"/>
      <c r="C16" s="41">
        <f>C17-B17</f>
        <v>175629000</v>
      </c>
      <c r="D16" s="41">
        <f t="shared" ref="D16:K16" si="11">D17-C17</f>
        <v>-38194000</v>
      </c>
      <c r="E16" s="41">
        <f t="shared" si="11"/>
        <v>-99596000</v>
      </c>
      <c r="F16" s="41">
        <f t="shared" si="11"/>
        <v>229212000</v>
      </c>
      <c r="G16" s="41">
        <f t="shared" si="11"/>
        <v>185445000</v>
      </c>
      <c r="H16" s="41">
        <f t="shared" si="11"/>
        <v>209618000</v>
      </c>
      <c r="I16" s="41">
        <f t="shared" si="11"/>
        <v>287158000</v>
      </c>
      <c r="J16" s="41">
        <f t="shared" si="11"/>
        <v>-22155000</v>
      </c>
      <c r="K16" s="41">
        <f t="shared" si="11"/>
        <v>-371294000</v>
      </c>
      <c r="L16" s="41">
        <f t="shared" ref="L16" si="12">L17-K17</f>
        <v>-930220845.63182545</v>
      </c>
      <c r="M16" s="41">
        <f t="shared" ref="M16" si="13">M17-L17</f>
        <v>31979638.675155997</v>
      </c>
      <c r="N16" s="41">
        <f t="shared" ref="N16" si="14">N17-M17</f>
        <v>35641307.303461552</v>
      </c>
      <c r="O16" s="41">
        <f t="shared" ref="O16" si="15">O17-N17</f>
        <v>39722236.989707232</v>
      </c>
      <c r="P16" s="41">
        <f t="shared" ref="P16" si="16">P17-O17</f>
        <v>44270433.125029683</v>
      </c>
    </row>
    <row r="17" spans="1:16">
      <c r="A17" s="48" t="s">
        <v>93</v>
      </c>
      <c r="B17" s="41">
        <f>B18-B19</f>
        <v>653696000</v>
      </c>
      <c r="C17" s="41">
        <f t="shared" ref="C17:P17" si="17">C18-C19</f>
        <v>829325000</v>
      </c>
      <c r="D17" s="41">
        <f t="shared" si="17"/>
        <v>791131000</v>
      </c>
      <c r="E17" s="41">
        <f t="shared" si="17"/>
        <v>691535000</v>
      </c>
      <c r="F17" s="41">
        <f t="shared" si="17"/>
        <v>920747000</v>
      </c>
      <c r="G17" s="41">
        <f t="shared" si="17"/>
        <v>1106192000</v>
      </c>
      <c r="H17" s="41">
        <f t="shared" si="17"/>
        <v>1315810000</v>
      </c>
      <c r="I17" s="41">
        <f t="shared" si="17"/>
        <v>1602968000</v>
      </c>
      <c r="J17" s="41">
        <f t="shared" si="17"/>
        <v>1580813000</v>
      </c>
      <c r="K17" s="41">
        <f t="shared" si="17"/>
        <v>1209519000</v>
      </c>
      <c r="L17" s="41">
        <f t="shared" si="17"/>
        <v>279298154.36817455</v>
      </c>
      <c r="M17" s="41">
        <f t="shared" si="17"/>
        <v>311277793.04333055</v>
      </c>
      <c r="N17" s="41">
        <f t="shared" si="17"/>
        <v>346919100.3467921</v>
      </c>
      <c r="O17" s="41">
        <f t="shared" si="17"/>
        <v>386641337.33649933</v>
      </c>
      <c r="P17" s="41">
        <f t="shared" si="17"/>
        <v>430911770.46152902</v>
      </c>
    </row>
    <row r="18" spans="1:16">
      <c r="A18" s="48" t="s">
        <v>20</v>
      </c>
      <c r="B18" s="41">
        <f>'Balance Sheet'!K7</f>
        <v>787053000</v>
      </c>
      <c r="C18" s="41">
        <f>'Balance Sheet'!J7</f>
        <v>945539000</v>
      </c>
      <c r="D18" s="41">
        <f>'Balance Sheet'!I7</f>
        <v>951012000</v>
      </c>
      <c r="E18" s="41">
        <f>'Balance Sheet'!H7</f>
        <v>917039000</v>
      </c>
      <c r="F18" s="41">
        <f>'Balance Sheet'!G7</f>
        <v>1162737000</v>
      </c>
      <c r="G18" s="41">
        <f>'Income Statement'!F4</f>
        <v>1398790000</v>
      </c>
      <c r="H18" s="41">
        <f>'Income Statement'!E4</f>
        <v>1816287000</v>
      </c>
      <c r="I18" s="41">
        <f>'Income Statement'!D4</f>
        <v>2223386000</v>
      </c>
      <c r="J18" s="41">
        <f>'Income Statement'!C4</f>
        <v>2463991000</v>
      </c>
      <c r="K18" s="41">
        <f>'Balance Sheet'!B7</f>
        <v>2614853000</v>
      </c>
      <c r="L18" s="41">
        <f>'Projected Net Working Capital'!L6</f>
        <v>1026877706.8756597</v>
      </c>
      <c r="M18" s="41">
        <f>'Projected Net Working Capital'!M6</f>
        <v>1144455204.3129227</v>
      </c>
      <c r="N18" s="41">
        <f>'Projected Net Working Capital'!N6</f>
        <v>1275495325.2067525</v>
      </c>
      <c r="O18" s="41">
        <f>'Projected Net Working Capital'!O6</f>
        <v>1421539539.9429255</v>
      </c>
      <c r="P18" s="41">
        <f>'Projected Net Working Capital'!P6</f>
        <v>1584305817.2663908</v>
      </c>
    </row>
    <row r="19" spans="1:16">
      <c r="A19" s="48" t="s">
        <v>94</v>
      </c>
      <c r="B19" s="41">
        <f>'Balance Sheet'!K25</f>
        <v>133357000</v>
      </c>
      <c r="C19" s="41">
        <f>'Balance Sheet'!J25</f>
        <v>116214000</v>
      </c>
      <c r="D19" s="41">
        <f>'Balance Sheet'!I25</f>
        <v>159881000</v>
      </c>
      <c r="E19" s="41">
        <f>'Balance Sheet'!H25</f>
        <v>225504000</v>
      </c>
      <c r="F19" s="41">
        <f>'Balance Sheet'!G25</f>
        <v>241990000</v>
      </c>
      <c r="G19" s="41">
        <f>'Balance Sheet'!F25</f>
        <v>292598000</v>
      </c>
      <c r="H19" s="41">
        <f>'Balance Sheet'!E25</f>
        <v>500477000</v>
      </c>
      <c r="I19" s="41">
        <f>'Balance Sheet'!D25</f>
        <v>620418000</v>
      </c>
      <c r="J19" s="41">
        <f>'Balance Sheet'!C25</f>
        <v>883178000</v>
      </c>
      <c r="K19" s="41">
        <f>'Balance Sheet'!B25</f>
        <v>1405334000</v>
      </c>
      <c r="L19" s="41">
        <f>'Projected Net Working Capital'!L12</f>
        <v>747579552.50748515</v>
      </c>
      <c r="M19" s="41">
        <f>'Projected Net Working Capital'!M12</f>
        <v>833177411.26959217</v>
      </c>
      <c r="N19" s="41">
        <f>'Projected Net Working Capital'!N12</f>
        <v>928576224.85996044</v>
      </c>
      <c r="O19" s="41">
        <f>'Projected Net Working Capital'!O12</f>
        <v>1034898202.6064261</v>
      </c>
      <c r="P19" s="41">
        <f>'Projected Net Working Capital'!P12</f>
        <v>1153394046.8048618</v>
      </c>
    </row>
    <row r="20" spans="1:16">
      <c r="A20" s="49" t="s">
        <v>95</v>
      </c>
      <c r="B20" s="34">
        <f>B13+B14+B15-B16</f>
        <v>173245000</v>
      </c>
      <c r="C20" s="34">
        <f t="shared" ref="C20:P20" si="18">C13+C14+C15-C16</f>
        <v>-8258000</v>
      </c>
      <c r="D20" s="34">
        <f t="shared" si="18"/>
        <v>150392000</v>
      </c>
      <c r="E20" s="34">
        <f t="shared" si="18"/>
        <v>222737000</v>
      </c>
      <c r="F20" s="34">
        <f t="shared" si="18"/>
        <v>-76919000</v>
      </c>
      <c r="G20" s="34">
        <f t="shared" si="18"/>
        <v>-88644000</v>
      </c>
      <c r="H20" s="34">
        <f t="shared" si="18"/>
        <v>38962000</v>
      </c>
      <c r="I20" s="34">
        <f t="shared" si="18"/>
        <v>67107000</v>
      </c>
      <c r="J20" s="34">
        <f t="shared" si="18"/>
        <v>382478000</v>
      </c>
      <c r="K20" s="34">
        <f t="shared" si="18"/>
        <v>951600000</v>
      </c>
      <c r="L20" s="34">
        <f t="shared" si="18"/>
        <v>1532134132.8352442</v>
      </c>
      <c r="M20" s="34">
        <f t="shared" si="18"/>
        <v>619219885.03984046</v>
      </c>
      <c r="N20" s="34">
        <f t="shared" si="18"/>
        <v>667006656.94309914</v>
      </c>
      <c r="O20" s="34">
        <f t="shared" si="18"/>
        <v>716166720.58152258</v>
      </c>
      <c r="P20" s="34">
        <f t="shared" si="18"/>
        <v>766130655.23421729</v>
      </c>
    </row>
    <row r="21" spans="1:16">
      <c r="A21" s="11"/>
      <c r="P21" s="1"/>
    </row>
    <row r="22" spans="1:16">
      <c r="A22" s="50" t="s">
        <v>96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2"/>
    </row>
    <row r="23" spans="1:16">
      <c r="A23" s="38" t="str">
        <f>A2</f>
        <v>Fiscal Year</v>
      </c>
      <c r="B23" s="30">
        <v>41306</v>
      </c>
      <c r="C23" s="30">
        <v>41671</v>
      </c>
      <c r="D23" s="30">
        <v>42005</v>
      </c>
      <c r="E23" s="30">
        <v>42370</v>
      </c>
      <c r="F23" s="30">
        <v>42736</v>
      </c>
      <c r="G23" s="30">
        <v>43101</v>
      </c>
      <c r="H23" s="30">
        <v>43497</v>
      </c>
      <c r="I23" s="30">
        <v>43862</v>
      </c>
      <c r="J23" s="30">
        <v>44197</v>
      </c>
      <c r="K23" s="30">
        <v>44562</v>
      </c>
      <c r="L23" s="31">
        <v>44927</v>
      </c>
      <c r="M23" s="31">
        <v>45292</v>
      </c>
      <c r="N23" s="31">
        <v>45658</v>
      </c>
      <c r="O23" s="31">
        <v>46023</v>
      </c>
      <c r="P23" s="39">
        <v>46388</v>
      </c>
    </row>
    <row r="24" spans="1:16">
      <c r="A24" s="53" t="s">
        <v>97</v>
      </c>
      <c r="B24" s="54"/>
      <c r="C24" s="55">
        <f>C3/B3-1</f>
        <v>0.16114767090059678</v>
      </c>
      <c r="D24" s="55">
        <f t="shared" ref="D24:K24" si="19">D3/C3-1</f>
        <v>0.12947872910052105</v>
      </c>
      <c r="E24" s="55">
        <f t="shared" si="19"/>
        <v>0.1465101799285895</v>
      </c>
      <c r="F24" s="55">
        <f t="shared" si="19"/>
        <v>0.13776550904794549</v>
      </c>
      <c r="G24" s="55">
        <f t="shared" si="19"/>
        <v>0.13000769495886355</v>
      </c>
      <c r="H24" s="55">
        <f t="shared" si="19"/>
        <v>0.24125871354203432</v>
      </c>
      <c r="I24" s="55">
        <f t="shared" si="19"/>
        <v>0.21013076894303739</v>
      </c>
      <c r="J24" s="55">
        <f t="shared" si="19"/>
        <v>0.10619541748088102</v>
      </c>
      <c r="K24" s="55">
        <f t="shared" si="19"/>
        <v>0.42135142742451581</v>
      </c>
      <c r="L24" s="55">
        <v>0.1145</v>
      </c>
      <c r="M24" s="55">
        <v>0.1145</v>
      </c>
      <c r="N24" s="55">
        <v>0.1145</v>
      </c>
      <c r="O24" s="55">
        <v>0.1145</v>
      </c>
      <c r="P24" s="64">
        <v>0.1145</v>
      </c>
    </row>
    <row r="25" spans="1:16">
      <c r="A25" s="53"/>
      <c r="L25" s="54"/>
      <c r="M25" s="54"/>
      <c r="N25" s="54"/>
      <c r="O25" s="54"/>
      <c r="P25" s="57"/>
    </row>
    <row r="26" spans="1:16">
      <c r="A26" s="53" t="s">
        <v>98</v>
      </c>
      <c r="B26" s="61">
        <f t="shared" ref="B26:K26" si="20">B4/B3</f>
        <v>0.44320681165067816</v>
      </c>
      <c r="C26" s="61">
        <f t="shared" si="20"/>
        <v>0.47204478666254396</v>
      </c>
      <c r="D26" s="61">
        <f t="shared" si="20"/>
        <v>0.49133463868779048</v>
      </c>
      <c r="E26" s="61">
        <f t="shared" si="20"/>
        <v>0.51606169889877473</v>
      </c>
      <c r="F26" s="61">
        <f t="shared" si="20"/>
        <v>0.48830357721746193</v>
      </c>
      <c r="G26" s="61">
        <f t="shared" si="20"/>
        <v>0.47199153247739584</v>
      </c>
      <c r="H26" s="61">
        <f t="shared" si="20"/>
        <v>0.44765486560154294</v>
      </c>
      <c r="I26" s="61">
        <f t="shared" si="20"/>
        <v>0.44126146936543548</v>
      </c>
      <c r="J26" s="61">
        <f t="shared" si="20"/>
        <v>0.44024108795357619</v>
      </c>
      <c r="K26" s="61">
        <f t="shared" si="20"/>
        <v>0.42324022710675752</v>
      </c>
      <c r="L26" s="55">
        <f>AVERAGE(B26:K26)</f>
        <v>0.46353406956219567</v>
      </c>
      <c r="M26" s="55">
        <f>L26</f>
        <v>0.46353406956219567</v>
      </c>
      <c r="N26" s="55">
        <f t="shared" ref="N26:P26" si="21">M26</f>
        <v>0.46353406956219567</v>
      </c>
      <c r="O26" s="55">
        <f t="shared" si="21"/>
        <v>0.46353406956219567</v>
      </c>
      <c r="P26" s="56">
        <f t="shared" si="21"/>
        <v>0.46353406956219567</v>
      </c>
    </row>
    <row r="27" spans="1:16">
      <c r="A27" s="53" t="s">
        <v>99</v>
      </c>
      <c r="B27" s="55">
        <f>B7/B3</f>
        <v>0.2819606263472757</v>
      </c>
      <c r="C27" s="55">
        <f t="shared" ref="C27:K27" si="22">C7/C3</f>
        <v>0.28200187532837101</v>
      </c>
      <c r="D27" s="55">
        <f t="shared" si="22"/>
        <v>0.29943417947677875</v>
      </c>
      <c r="E27" s="55">
        <f t="shared" si="22"/>
        <v>0.30482066931550872</v>
      </c>
      <c r="F27" s="55">
        <f t="shared" si="22"/>
        <v>0.33205411040474458</v>
      </c>
      <c r="G27" s="55">
        <f t="shared" si="22"/>
        <v>0.34133719062608409</v>
      </c>
      <c r="H27" s="55">
        <f t="shared" si="22"/>
        <v>0.33767374758957386</v>
      </c>
      <c r="I27" s="55">
        <f t="shared" si="22"/>
        <v>0.33529724855853899</v>
      </c>
      <c r="J27" s="55">
        <f t="shared" si="22"/>
        <v>0.36552640361082167</v>
      </c>
      <c r="K27" s="55">
        <f t="shared" si="22"/>
        <v>0.35562892854077532</v>
      </c>
      <c r="L27" s="55">
        <f t="shared" ref="L27:L28" si="23">AVERAGE(B27:K27)</f>
        <v>0.32357349797984719</v>
      </c>
      <c r="M27" s="55">
        <f t="shared" ref="M27:P27" si="24">L27</f>
        <v>0.32357349797984719</v>
      </c>
      <c r="N27" s="55">
        <f t="shared" si="24"/>
        <v>0.32357349797984719</v>
      </c>
      <c r="O27" s="55">
        <f t="shared" si="24"/>
        <v>0.32357349797984719</v>
      </c>
      <c r="P27" s="56">
        <f t="shared" si="24"/>
        <v>0.32357349797984719</v>
      </c>
    </row>
    <row r="28" spans="1:16">
      <c r="A28" s="58" t="s">
        <v>100</v>
      </c>
      <c r="B28" s="59">
        <f>B12/B11</f>
        <v>0.32979045642531318</v>
      </c>
      <c r="C28" s="59">
        <f t="shared" ref="C28:K28" si="25">C12/C11</f>
        <v>0.34350696777586259</v>
      </c>
      <c r="D28" s="59">
        <f t="shared" si="25"/>
        <v>0.45362311084808399</v>
      </c>
      <c r="E28" s="59">
        <f t="shared" si="25"/>
        <v>0.34646745103874627</v>
      </c>
      <c r="F28" s="59">
        <f t="shared" si="25"/>
        <v>0.35791336162300758</v>
      </c>
      <c r="G28" s="59">
        <f t="shared" si="25"/>
        <v>0.57894101205983328</v>
      </c>
      <c r="H28" s="59">
        <f t="shared" si="25"/>
        <v>0.39675701806113634</v>
      </c>
      <c r="I28" s="59">
        <f t="shared" si="25"/>
        <v>0.34626645232178688</v>
      </c>
      <c r="J28" s="59">
        <f t="shared" si="25"/>
        <v>0.36317430197885608</v>
      </c>
      <c r="K28" s="59">
        <f t="shared" si="25"/>
        <v>0.32326315039728659</v>
      </c>
      <c r="L28" s="59">
        <f t="shared" si="23"/>
        <v>0.38397032825299127</v>
      </c>
      <c r="M28" s="59">
        <f t="shared" ref="M28:P28" si="26">L28</f>
        <v>0.38397032825299127</v>
      </c>
      <c r="N28" s="59">
        <f t="shared" si="26"/>
        <v>0.38397032825299127</v>
      </c>
      <c r="O28" s="59">
        <f t="shared" si="26"/>
        <v>0.38397032825299127</v>
      </c>
      <c r="P28" s="60">
        <f t="shared" si="26"/>
        <v>0.38397032825299127</v>
      </c>
    </row>
    <row r="30" spans="1:16">
      <c r="A30" s="54" t="s">
        <v>102</v>
      </c>
      <c r="B30">
        <v>141</v>
      </c>
      <c r="C30">
        <v>146</v>
      </c>
      <c r="D30">
        <v>152</v>
      </c>
      <c r="E30">
        <v>160</v>
      </c>
      <c r="F30">
        <v>168</v>
      </c>
      <c r="G30">
        <v>174.72</v>
      </c>
      <c r="H30">
        <v>181.71</v>
      </c>
      <c r="I30">
        <v>188.98</v>
      </c>
      <c r="J30">
        <v>196.54</v>
      </c>
      <c r="K30">
        <v>204.4</v>
      </c>
    </row>
    <row r="31" spans="1:16">
      <c r="A31" s="54" t="s">
        <v>97</v>
      </c>
      <c r="C31" s="62">
        <f>C30/B30-1</f>
        <v>3.5460992907801359E-2</v>
      </c>
      <c r="D31" s="62">
        <f t="shared" ref="D31:K31" si="27">D30/C30-1</f>
        <v>4.1095890410958846E-2</v>
      </c>
      <c r="E31" s="62">
        <f t="shared" si="27"/>
        <v>5.2631578947368363E-2</v>
      </c>
      <c r="F31" s="62">
        <f t="shared" si="27"/>
        <v>5.0000000000000044E-2</v>
      </c>
      <c r="G31" s="62">
        <f t="shared" si="27"/>
        <v>4.0000000000000036E-2</v>
      </c>
      <c r="H31" s="62">
        <f t="shared" si="27"/>
        <v>4.0006868131868156E-2</v>
      </c>
      <c r="I31" s="62">
        <f t="shared" si="27"/>
        <v>4.0008805239117207E-2</v>
      </c>
      <c r="J31" s="62">
        <f t="shared" si="27"/>
        <v>4.0004233252195931E-2</v>
      </c>
      <c r="K31" s="62">
        <f t="shared" si="27"/>
        <v>3.9991859163529098E-2</v>
      </c>
      <c r="L31" s="63">
        <f>AVERAGE(C31:K31)</f>
        <v>4.2133358672537674E-2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216A-A9ED-4010-ABE2-A1AFADFB0DB1}">
  <dimension ref="A1:P11"/>
  <sheetViews>
    <sheetView workbookViewId="0">
      <selection activeCell="B2" sqref="B2:P2"/>
    </sheetView>
  </sheetViews>
  <sheetFormatPr defaultRowHeight="15"/>
  <cols>
    <col min="1" max="1" width="29.28515625" bestFit="1" customWidth="1"/>
    <col min="2" max="11" width="11.140625" bestFit="1" customWidth="1"/>
    <col min="12" max="16" width="12.7109375" bestFit="1" customWidth="1"/>
  </cols>
  <sheetData>
    <row r="1" spans="1:16">
      <c r="A1" s="70" t="s">
        <v>103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>
      <c r="A2" s="71" t="s">
        <v>82</v>
      </c>
      <c r="B2" s="30">
        <v>41306</v>
      </c>
      <c r="C2" s="30">
        <v>41671</v>
      </c>
      <c r="D2" s="30">
        <v>42005</v>
      </c>
      <c r="E2" s="30">
        <v>42370</v>
      </c>
      <c r="F2" s="30">
        <v>42736</v>
      </c>
      <c r="G2" s="30">
        <v>43101</v>
      </c>
      <c r="H2" s="30">
        <v>43497</v>
      </c>
      <c r="I2" s="30">
        <v>43862</v>
      </c>
      <c r="J2" s="30">
        <v>44197</v>
      </c>
      <c r="K2" s="30">
        <v>44562</v>
      </c>
      <c r="L2" s="31">
        <v>44927</v>
      </c>
      <c r="M2" s="31">
        <v>45292</v>
      </c>
      <c r="N2" s="31">
        <v>45658</v>
      </c>
      <c r="O2" s="31">
        <v>46023</v>
      </c>
      <c r="P2" s="39">
        <v>46388</v>
      </c>
    </row>
    <row r="3" spans="1:16">
      <c r="A3" s="72" t="s">
        <v>104</v>
      </c>
      <c r="B3" s="73"/>
      <c r="C3" s="73">
        <f>B6</f>
        <v>214639000</v>
      </c>
      <c r="D3" s="73">
        <f t="shared" ref="D3:K3" si="0">C6</f>
        <v>255603000</v>
      </c>
      <c r="E3" s="73">
        <f t="shared" si="0"/>
        <v>296008000</v>
      </c>
      <c r="F3" s="73">
        <f t="shared" si="0"/>
        <v>349605000</v>
      </c>
      <c r="G3" s="73">
        <f t="shared" si="0"/>
        <v>423499000</v>
      </c>
      <c r="H3" s="73">
        <f t="shared" si="0"/>
        <v>473642000</v>
      </c>
      <c r="I3" s="73">
        <f t="shared" si="0"/>
        <v>567237000</v>
      </c>
      <c r="J3" s="73">
        <f t="shared" si="0"/>
        <v>671693000</v>
      </c>
      <c r="K3" s="73">
        <f t="shared" si="0"/>
        <v>745687000</v>
      </c>
      <c r="L3" s="78">
        <f>K6</f>
        <v>927710000</v>
      </c>
      <c r="M3" s="78">
        <f t="shared" ref="M3:P3" si="1">L6</f>
        <v>1092200942.1774664</v>
      </c>
      <c r="N3" s="78">
        <f t="shared" si="1"/>
        <v>1285857539.6334472</v>
      </c>
      <c r="O3" s="78">
        <f t="shared" si="1"/>
        <v>1513851113.272089</v>
      </c>
      <c r="P3" s="78">
        <f t="shared" si="1"/>
        <v>1782269903.560576</v>
      </c>
    </row>
    <row r="4" spans="1:16">
      <c r="A4" s="72" t="s">
        <v>105</v>
      </c>
      <c r="B4" s="73">
        <f>'Cash Flow Statements'!K4</f>
        <v>43000000</v>
      </c>
      <c r="C4" s="73">
        <f>'Cash Flow Statements'!J4</f>
        <v>49068000</v>
      </c>
      <c r="D4" s="73">
        <f>'Cash Flow Statements'!I4</f>
        <v>58364000</v>
      </c>
      <c r="E4" s="73">
        <f>'Cash Flow Statements'!H4</f>
        <v>73383000</v>
      </c>
      <c r="F4" s="73">
        <f>'Cash Flow Statements'!G4</f>
        <v>87697000</v>
      </c>
      <c r="G4" s="73">
        <f>'Cash Flow Statements'!F4</f>
        <v>108235000</v>
      </c>
      <c r="H4" s="73">
        <f>'Cash Flow Statements'!E4</f>
        <v>122484000</v>
      </c>
      <c r="I4" s="73">
        <f>'Cash Flow Statements'!D4</f>
        <v>161933000</v>
      </c>
      <c r="J4" s="78">
        <f>'Cash Flow Statements'!C4</f>
        <v>185478000</v>
      </c>
      <c r="K4" s="78">
        <f>'Cash Flow Statements'!B4</f>
        <v>224206000</v>
      </c>
      <c r="L4" s="78">
        <f>L3*L10</f>
        <v>240396072.70394117</v>
      </c>
      <c r="M4" s="78">
        <f t="shared" ref="M4:P4" si="2">M3*M10</f>
        <v>283020358.84382755</v>
      </c>
      <c r="N4" s="78">
        <f t="shared" si="2"/>
        <v>333202296.60630268</v>
      </c>
      <c r="O4" s="78">
        <f t="shared" si="2"/>
        <v>392281922.46402365</v>
      </c>
      <c r="P4" s="78">
        <f t="shared" si="2"/>
        <v>461836872.85293299</v>
      </c>
    </row>
    <row r="5" spans="1:16">
      <c r="A5" s="72" t="s">
        <v>106</v>
      </c>
      <c r="B5" s="73"/>
      <c r="C5" s="73">
        <f>C6-C3+C4</f>
        <v>90032000</v>
      </c>
      <c r="D5" s="73">
        <f t="shared" ref="D5:K5" si="3">D6-D3+D4</f>
        <v>98769000</v>
      </c>
      <c r="E5" s="73">
        <f t="shared" si="3"/>
        <v>126980000</v>
      </c>
      <c r="F5" s="73">
        <f t="shared" si="3"/>
        <v>161591000</v>
      </c>
      <c r="G5" s="73">
        <f t="shared" si="3"/>
        <v>158378000</v>
      </c>
      <c r="H5" s="73">
        <f t="shared" si="3"/>
        <v>216079000</v>
      </c>
      <c r="I5" s="73">
        <f t="shared" si="3"/>
        <v>266389000</v>
      </c>
      <c r="J5" s="73">
        <f t="shared" si="3"/>
        <v>259472000</v>
      </c>
      <c r="K5" s="73">
        <f t="shared" si="3"/>
        <v>406229000</v>
      </c>
      <c r="L5" s="79">
        <f>L3*L11</f>
        <v>404887014.88140738</v>
      </c>
      <c r="M5" s="79">
        <f t="shared" ref="M5:P5" si="4">M3*M11</f>
        <v>476676956.29980814</v>
      </c>
      <c r="N5" s="79">
        <f t="shared" si="4"/>
        <v>561195870.24494445</v>
      </c>
      <c r="O5" s="79">
        <f t="shared" si="4"/>
        <v>660700712.75251043</v>
      </c>
      <c r="P5" s="79">
        <f t="shared" si="4"/>
        <v>777848617.52661443</v>
      </c>
    </row>
    <row r="6" spans="1:16">
      <c r="A6" s="74" t="s">
        <v>107</v>
      </c>
      <c r="B6" s="75">
        <f>'Balance Sheet'!K10</f>
        <v>214639000</v>
      </c>
      <c r="C6" s="75">
        <f>'Balance Sheet'!J10</f>
        <v>255603000</v>
      </c>
      <c r="D6" s="75">
        <f>'Balance Sheet'!I10</f>
        <v>296008000</v>
      </c>
      <c r="E6" s="75">
        <f>'Balance Sheet'!H10</f>
        <v>349605000</v>
      </c>
      <c r="F6" s="75">
        <f>'Balance Sheet'!G10</f>
        <v>423499000</v>
      </c>
      <c r="G6" s="75">
        <f>'Balance Sheet'!F10</f>
        <v>473642000</v>
      </c>
      <c r="H6" s="75">
        <f>'Balance Sheet'!E10</f>
        <v>567237000</v>
      </c>
      <c r="I6" s="75">
        <f>'Balance Sheet'!D10</f>
        <v>671693000</v>
      </c>
      <c r="J6" s="75">
        <f>'Balance Sheet'!C10</f>
        <v>745687000</v>
      </c>
      <c r="K6" s="75">
        <f>'Balance Sheet'!B10</f>
        <v>927710000</v>
      </c>
      <c r="L6" s="75">
        <f>L3-L4+L5</f>
        <v>1092200942.1774664</v>
      </c>
      <c r="M6" s="75">
        <f t="shared" ref="M6:P6" si="5">M3-M4+M5</f>
        <v>1285857539.6334472</v>
      </c>
      <c r="N6" s="75">
        <f t="shared" si="5"/>
        <v>1513851113.272089</v>
      </c>
      <c r="O6" s="75">
        <f t="shared" si="5"/>
        <v>1782269903.560576</v>
      </c>
      <c r="P6" s="75">
        <f t="shared" si="5"/>
        <v>2098281648.2342575</v>
      </c>
    </row>
    <row r="7" spans="1:16">
      <c r="D7" s="73"/>
    </row>
    <row r="8" spans="1:16">
      <c r="A8" s="70" t="s">
        <v>96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</row>
    <row r="9" spans="1:16">
      <c r="A9" s="71" t="s">
        <v>82</v>
      </c>
      <c r="B9" s="30">
        <v>41306</v>
      </c>
      <c r="C9" s="30">
        <v>41671</v>
      </c>
      <c r="D9" s="30">
        <v>42005</v>
      </c>
      <c r="E9" s="30">
        <v>42370</v>
      </c>
      <c r="F9" s="30">
        <v>42736</v>
      </c>
      <c r="G9" s="30">
        <v>43101</v>
      </c>
      <c r="H9" s="30">
        <v>43497</v>
      </c>
      <c r="I9" s="30">
        <v>43862</v>
      </c>
      <c r="J9" s="30">
        <v>44197</v>
      </c>
      <c r="K9" s="30">
        <v>44562</v>
      </c>
      <c r="L9" s="31">
        <v>44927</v>
      </c>
      <c r="M9" s="31">
        <v>45292</v>
      </c>
      <c r="N9" s="31">
        <v>45658</v>
      </c>
      <c r="O9" s="31">
        <v>46023</v>
      </c>
      <c r="P9" s="39">
        <v>46388</v>
      </c>
    </row>
    <row r="10" spans="1:16">
      <c r="A10" s="76" t="s">
        <v>108</v>
      </c>
      <c r="B10" s="77"/>
      <c r="C10" s="77">
        <f>C4/C3</f>
        <v>0.22860710308937332</v>
      </c>
      <c r="D10" s="77">
        <f t="shared" ref="D10:K10" si="6">D4/D3</f>
        <v>0.22833847803038307</v>
      </c>
      <c r="E10" s="77">
        <f t="shared" si="6"/>
        <v>0.24790884030161348</v>
      </c>
      <c r="F10" s="77">
        <f t="shared" si="6"/>
        <v>0.25084595472032722</v>
      </c>
      <c r="G10" s="77">
        <f t="shared" si="6"/>
        <v>0.25557321268763328</v>
      </c>
      <c r="H10" s="77">
        <f t="shared" si="6"/>
        <v>0.25860037750030612</v>
      </c>
      <c r="I10" s="77">
        <f t="shared" si="6"/>
        <v>0.28547679365062573</v>
      </c>
      <c r="J10" s="77">
        <f t="shared" si="6"/>
        <v>0.27613507956760008</v>
      </c>
      <c r="K10" s="77">
        <f t="shared" si="6"/>
        <v>0.30067038851421574</v>
      </c>
      <c r="L10" s="63">
        <f>AVERAGE(C10:K10)</f>
        <v>0.25912846978467535</v>
      </c>
      <c r="M10" s="63">
        <f>L10</f>
        <v>0.25912846978467535</v>
      </c>
      <c r="N10" s="63">
        <f t="shared" ref="N10:P10" si="7">M10</f>
        <v>0.25912846978467535</v>
      </c>
      <c r="O10" s="63">
        <f t="shared" si="7"/>
        <v>0.25912846978467535</v>
      </c>
      <c r="P10" s="63">
        <f t="shared" si="7"/>
        <v>0.25912846978467535</v>
      </c>
    </row>
    <row r="11" spans="1:16">
      <c r="A11" s="76" t="s">
        <v>109</v>
      </c>
      <c r="B11" s="77"/>
      <c r="C11" s="77">
        <f>C5/C3</f>
        <v>0.4194577872614017</v>
      </c>
      <c r="D11" s="77">
        <f t="shared" ref="D11:K11" si="8">D5/D3</f>
        <v>0.38641565239844605</v>
      </c>
      <c r="E11" s="77">
        <f t="shared" si="8"/>
        <v>0.42897489257047106</v>
      </c>
      <c r="F11" s="77">
        <f t="shared" si="8"/>
        <v>0.4622102086640637</v>
      </c>
      <c r="G11" s="77">
        <f t="shared" si="8"/>
        <v>0.37397490903166242</v>
      </c>
      <c r="H11" s="77">
        <f t="shared" si="8"/>
        <v>0.45620743092884497</v>
      </c>
      <c r="I11" s="77">
        <f t="shared" si="8"/>
        <v>0.46962557096945368</v>
      </c>
      <c r="J11" s="77">
        <f t="shared" si="8"/>
        <v>0.38629552489009117</v>
      </c>
      <c r="K11" s="77">
        <f t="shared" si="8"/>
        <v>0.544771465775855</v>
      </c>
      <c r="L11" s="63">
        <f>AVERAGE(C11:K11)</f>
        <v>0.43643704916558773</v>
      </c>
      <c r="M11" s="63">
        <f>L11</f>
        <v>0.43643704916558773</v>
      </c>
      <c r="N11" s="63">
        <f t="shared" ref="N11:P11" si="9">M11</f>
        <v>0.43643704916558773</v>
      </c>
      <c r="O11" s="63">
        <f t="shared" si="9"/>
        <v>0.43643704916558773</v>
      </c>
      <c r="P11" s="63">
        <f t="shared" si="9"/>
        <v>0.43643704916558773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A369-C9BE-41E3-B6B8-8367C578E531}">
  <dimension ref="A1:P26"/>
  <sheetViews>
    <sheetView workbookViewId="0">
      <selection activeCell="O8" sqref="O8"/>
    </sheetView>
  </sheetViews>
  <sheetFormatPr defaultRowHeight="15"/>
  <cols>
    <col min="1" max="1" width="45.7109375" bestFit="1" customWidth="1"/>
    <col min="2" max="2" width="15.7109375" customWidth="1"/>
    <col min="3" max="8" width="12.7109375" bestFit="1" customWidth="1"/>
    <col min="9" max="9" width="13.5703125" bestFit="1" customWidth="1"/>
    <col min="10" max="15" width="12.7109375" bestFit="1" customWidth="1"/>
    <col min="16" max="16" width="13.85546875" bestFit="1" customWidth="1"/>
  </cols>
  <sheetData>
    <row r="1" spans="1:16">
      <c r="A1" s="51" t="s">
        <v>110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>
      <c r="A2" s="80" t="s">
        <v>82</v>
      </c>
      <c r="B2" s="30">
        <v>41306</v>
      </c>
      <c r="C2" s="30">
        <v>41671</v>
      </c>
      <c r="D2" s="30">
        <v>42005</v>
      </c>
      <c r="E2" s="30">
        <v>42370</v>
      </c>
      <c r="F2" s="30">
        <v>42736</v>
      </c>
      <c r="G2" s="30">
        <v>43101</v>
      </c>
      <c r="H2" s="30">
        <v>43497</v>
      </c>
      <c r="I2" s="30">
        <v>43862</v>
      </c>
      <c r="J2" s="30">
        <v>44197</v>
      </c>
      <c r="K2" s="30">
        <v>44562</v>
      </c>
      <c r="L2" s="31">
        <v>44927</v>
      </c>
      <c r="M2" s="31">
        <v>45292</v>
      </c>
      <c r="N2" s="31">
        <v>45658</v>
      </c>
      <c r="O2" s="31">
        <v>46023</v>
      </c>
      <c r="P2" s="39">
        <v>46388</v>
      </c>
    </row>
    <row r="3" spans="1:16">
      <c r="A3" s="32" t="s">
        <v>111</v>
      </c>
      <c r="B3" s="79">
        <f>'Balance Sheet'!K4</f>
        <v>6351000</v>
      </c>
      <c r="C3" s="79">
        <f>'Balance Sheet'!J4</f>
        <v>11903000</v>
      </c>
      <c r="D3" s="79">
        <f>'Balance Sheet'!I4</f>
        <v>13746000</v>
      </c>
      <c r="E3" s="79">
        <f>'Balance Sheet'!H4</f>
        <v>13108000</v>
      </c>
      <c r="F3" s="79">
        <f>'Balance Sheet'!G4</f>
        <v>9200000</v>
      </c>
      <c r="G3" s="79">
        <f>'Balance Sheet'!F4</f>
        <v>19173000</v>
      </c>
      <c r="H3" s="79">
        <f>'Balance Sheet'!E4</f>
        <v>35786000</v>
      </c>
      <c r="I3" s="79">
        <f>'Balance Sheet'!D4</f>
        <v>40219000</v>
      </c>
      <c r="J3" s="79">
        <f>'Balance Sheet'!C4</f>
        <v>62399000</v>
      </c>
      <c r="K3" s="79">
        <f>'Balance Sheet'!B4</f>
        <v>77001000</v>
      </c>
      <c r="L3" s="79">
        <f>L19*L16/360</f>
        <v>59102598.114966892</v>
      </c>
      <c r="M3" s="79">
        <f t="shared" ref="M3:P3" si="0">M19*M16/360</f>
        <v>65869845.599130601</v>
      </c>
      <c r="N3" s="79">
        <f t="shared" si="0"/>
        <v>73411942.920231059</v>
      </c>
      <c r="O3" s="79">
        <f t="shared" si="0"/>
        <v>81817610.38459751</v>
      </c>
      <c r="P3" s="79">
        <f t="shared" si="0"/>
        <v>91185726.773633942</v>
      </c>
    </row>
    <row r="4" spans="1:16">
      <c r="A4" s="32" t="s">
        <v>112</v>
      </c>
      <c r="B4" s="79">
        <f>'Balance Sheet'!K5</f>
        <v>155222000</v>
      </c>
      <c r="C4" s="79">
        <f>'Balance Sheet'!J5</f>
        <v>188790000</v>
      </c>
      <c r="D4" s="79">
        <f>'Balance Sheet'!I5</f>
        <v>208116000</v>
      </c>
      <c r="E4" s="79">
        <f>'Balance Sheet'!H5</f>
        <v>284009000</v>
      </c>
      <c r="F4" s="79">
        <f>'Balance Sheet'!G5</f>
        <v>298432000</v>
      </c>
      <c r="G4" s="79">
        <f>'Balance Sheet'!F5</f>
        <v>329562000</v>
      </c>
      <c r="H4" s="79">
        <f>'Balance Sheet'!E5</f>
        <v>404842000</v>
      </c>
      <c r="I4" s="79">
        <f>'Balance Sheet'!D5</f>
        <v>518513000</v>
      </c>
      <c r="J4" s="79">
        <f>'Balance Sheet'!C5</f>
        <v>647230000</v>
      </c>
      <c r="K4" s="79">
        <f>'Balance Sheet'!B5</f>
        <v>966481000</v>
      </c>
      <c r="L4" s="79">
        <f>L20*L16/360</f>
        <v>901033509.5322566</v>
      </c>
      <c r="M4" s="79">
        <f t="shared" ref="M4:P4" si="1">M20*M16/360</f>
        <v>1004201846.3736999</v>
      </c>
      <c r="N4" s="79">
        <f t="shared" si="1"/>
        <v>1119182957.7834888</v>
      </c>
      <c r="O4" s="79">
        <f t="shared" si="1"/>
        <v>1247329406.449698</v>
      </c>
      <c r="P4" s="79">
        <f t="shared" si="1"/>
        <v>1390148623.4881887</v>
      </c>
    </row>
    <row r="5" spans="1:16">
      <c r="A5" s="32" t="s">
        <v>25</v>
      </c>
      <c r="B5" s="79">
        <f>'Balance Sheet'!K6</f>
        <v>35301000</v>
      </c>
      <c r="C5" s="79">
        <f>'Balance Sheet'!J6</f>
        <v>46197000</v>
      </c>
      <c r="D5" s="79">
        <f>'Balance Sheet'!I6</f>
        <v>24124000</v>
      </c>
      <c r="E5" s="79">
        <f>'Balance Sheet'!H6</f>
        <v>26987000</v>
      </c>
      <c r="F5" s="79">
        <f>'Balance Sheet'!G6</f>
        <v>39069000</v>
      </c>
      <c r="G5" s="79">
        <f>'Balance Sheet'!F6</f>
        <v>48098000</v>
      </c>
      <c r="H5" s="79">
        <f>'Balance Sheet'!E6</f>
        <v>57949000</v>
      </c>
      <c r="I5" s="79">
        <f>'Balance Sheet'!D6</f>
        <v>4239000</v>
      </c>
      <c r="J5" s="79">
        <f>'Balance Sheet'!C6</f>
        <v>25579000</v>
      </c>
      <c r="K5" s="79">
        <f>'Balance Sheet'!B6</f>
        <v>32550000</v>
      </c>
      <c r="L5" s="79">
        <f>L23*L16</f>
        <v>66741599.228436247</v>
      </c>
      <c r="M5" s="79">
        <f t="shared" ref="M5:P5" si="2">M23*M16</f>
        <v>74383512.340092197</v>
      </c>
      <c r="N5" s="79">
        <f t="shared" si="2"/>
        <v>82900424.503032744</v>
      </c>
      <c r="O5" s="79">
        <f t="shared" si="2"/>
        <v>92392523.108630002</v>
      </c>
      <c r="P5" s="79">
        <f t="shared" si="2"/>
        <v>102971467.00456814</v>
      </c>
    </row>
    <row r="6" spans="1:16">
      <c r="A6" s="81" t="s">
        <v>20</v>
      </c>
      <c r="B6" s="82">
        <f t="shared" ref="B6:P6" si="3">SUM(B3:B5)</f>
        <v>196874000</v>
      </c>
      <c r="C6" s="82">
        <f t="shared" si="3"/>
        <v>246890000</v>
      </c>
      <c r="D6" s="82">
        <f t="shared" si="3"/>
        <v>245986000</v>
      </c>
      <c r="E6" s="82">
        <f t="shared" si="3"/>
        <v>324104000</v>
      </c>
      <c r="F6" s="82">
        <f t="shared" si="3"/>
        <v>346701000</v>
      </c>
      <c r="G6" s="82">
        <f t="shared" si="3"/>
        <v>396833000</v>
      </c>
      <c r="H6" s="82">
        <f t="shared" si="3"/>
        <v>498577000</v>
      </c>
      <c r="I6" s="82">
        <f t="shared" si="3"/>
        <v>562971000</v>
      </c>
      <c r="J6" s="82">
        <f t="shared" si="3"/>
        <v>735208000</v>
      </c>
      <c r="K6" s="82">
        <f t="shared" si="3"/>
        <v>1076032000</v>
      </c>
      <c r="L6" s="82">
        <f t="shared" si="3"/>
        <v>1026877706.8756597</v>
      </c>
      <c r="M6" s="82">
        <f t="shared" si="3"/>
        <v>1144455204.3129227</v>
      </c>
      <c r="N6" s="82">
        <f t="shared" si="3"/>
        <v>1275495325.2067525</v>
      </c>
      <c r="O6" s="82">
        <f t="shared" si="3"/>
        <v>1421539539.9429255</v>
      </c>
      <c r="P6" s="82">
        <f t="shared" si="3"/>
        <v>1584305817.2663908</v>
      </c>
    </row>
    <row r="8" spans="1:16">
      <c r="A8" s="32" t="s">
        <v>34</v>
      </c>
      <c r="B8" s="79">
        <f>'Balance Sheet'!K16</f>
        <v>1045000</v>
      </c>
      <c r="C8" s="79">
        <f>'Balance Sheet'!J16</f>
        <v>12647000</v>
      </c>
      <c r="D8" s="79">
        <f>'Balance Sheet'!I16</f>
        <v>9339000</v>
      </c>
      <c r="E8" s="79">
        <f>'Balance Sheet'!H16</f>
        <v>10381000</v>
      </c>
      <c r="F8" s="79">
        <f>'Balance Sheet'!G16</f>
        <v>24846000</v>
      </c>
      <c r="G8" s="79">
        <f>'Balance Sheet'!F16</f>
        <v>24646000</v>
      </c>
      <c r="H8" s="79">
        <f>'Balance Sheet'!E16</f>
        <v>95533000</v>
      </c>
      <c r="I8" s="79">
        <f>'Balance Sheet'!D16</f>
        <v>79997000</v>
      </c>
      <c r="J8" s="79">
        <f>'Balance Sheet'!C16</f>
        <v>172246000</v>
      </c>
      <c r="K8" s="79">
        <f>'Balance Sheet'!B16</f>
        <v>289728000</v>
      </c>
      <c r="L8" s="79">
        <f>L21*L16/360</f>
        <v>234629402.62930569</v>
      </c>
      <c r="M8" s="79">
        <f t="shared" ref="M8:P8" si="4">M21*M16/360</f>
        <v>261494469.23036116</v>
      </c>
      <c r="N8" s="79">
        <f t="shared" si="4"/>
        <v>291435585.95723754</v>
      </c>
      <c r="O8" s="79">
        <f t="shared" si="4"/>
        <v>324804960.54934126</v>
      </c>
      <c r="P8" s="79">
        <f t="shared" si="4"/>
        <v>361995128.53224087</v>
      </c>
    </row>
    <row r="9" spans="1:16">
      <c r="A9" t="s">
        <v>119</v>
      </c>
      <c r="B9" s="79">
        <f>'Balance Sheet'!K19</f>
        <v>27530000</v>
      </c>
      <c r="C9" s="79">
        <f>'Balance Sheet'!J19</f>
        <v>19445000</v>
      </c>
      <c r="D9" s="79">
        <f>'Balance Sheet'!I19</f>
        <v>29932000</v>
      </c>
      <c r="E9" s="79">
        <f>'Balance Sheet'!H19</f>
        <v>43524000</v>
      </c>
      <c r="F9" s="79">
        <f>'Balance Sheet'!G19</f>
        <v>55238000</v>
      </c>
      <c r="G9" s="79">
        <f>'Balance Sheet'!F19</f>
        <v>70141000</v>
      </c>
      <c r="H9" s="79">
        <f>'Balance Sheet'!E19</f>
        <v>109181000</v>
      </c>
      <c r="I9" s="79">
        <f>'Balance Sheet'!D19</f>
        <v>133688000</v>
      </c>
      <c r="J9" s="79">
        <f>'Balance Sheet'!C19</f>
        <v>130171000</v>
      </c>
      <c r="K9" s="79">
        <f>'Balance Sheet'!B19</f>
        <v>204921000</v>
      </c>
      <c r="L9" s="79">
        <f>L24*L16</f>
        <v>173801128.74084106</v>
      </c>
      <c r="M9" s="79">
        <f t="shared" ref="M9:P9" si="5">M24*M16</f>
        <v>193701357.98166737</v>
      </c>
      <c r="N9" s="79">
        <f t="shared" si="5"/>
        <v>215880163.47056827</v>
      </c>
      <c r="O9" s="79">
        <f t="shared" si="5"/>
        <v>240598442.18794835</v>
      </c>
      <c r="P9" s="79">
        <f t="shared" si="5"/>
        <v>268146963.81846845</v>
      </c>
    </row>
    <row r="10" spans="1:16">
      <c r="A10" s="11" t="s">
        <v>124</v>
      </c>
      <c r="B10" s="79">
        <f>'Balance Sheet'!K22</f>
        <v>35113000</v>
      </c>
      <c r="C10" s="79">
        <f>'Balance Sheet'!J22</f>
        <v>38343000</v>
      </c>
      <c r="D10" s="79">
        <f>'Balance Sheet'!I22</f>
        <v>46252000</v>
      </c>
      <c r="E10" s="79">
        <f>'Balance Sheet'!H22</f>
        <v>57736000</v>
      </c>
      <c r="F10" s="79">
        <f>'Balance Sheet'!G22</f>
        <v>70454000</v>
      </c>
      <c r="G10" s="79">
        <f>'Balance Sheet'!F22</f>
        <v>82668000</v>
      </c>
      <c r="H10" s="79">
        <f>'Balance Sheet'!E22</f>
        <v>99412000</v>
      </c>
      <c r="I10" s="79">
        <f>'Balance Sheet'!D22</f>
        <v>120413000</v>
      </c>
      <c r="J10" s="79">
        <f>'Balance Sheet'!C22</f>
        <v>155848000</v>
      </c>
      <c r="K10" s="79">
        <f>'Balance Sheet'!B22</f>
        <v>208195000</v>
      </c>
      <c r="L10" s="79">
        <f>L25*L16</f>
        <v>204940390.48763815</v>
      </c>
      <c r="M10" s="79">
        <f t="shared" ref="M10:P10" si="6">M25*M16</f>
        <v>228406065.19847271</v>
      </c>
      <c r="N10" s="79">
        <f t="shared" si="6"/>
        <v>254558559.66369784</v>
      </c>
      <c r="O10" s="79">
        <f t="shared" si="6"/>
        <v>283705514.74519128</v>
      </c>
      <c r="P10" s="79">
        <f t="shared" si="6"/>
        <v>316189796.18351567</v>
      </c>
    </row>
    <row r="11" spans="1:16">
      <c r="A11" s="32" t="s">
        <v>36</v>
      </c>
      <c r="B11" s="79">
        <f>'Balance Sheet'!K24</f>
        <v>0</v>
      </c>
      <c r="C11" s="79">
        <f>'Balance Sheet'!J24</f>
        <v>29595000</v>
      </c>
      <c r="D11" s="79">
        <f>'Balance Sheet'!I24</f>
        <v>31989000</v>
      </c>
      <c r="E11" s="79">
        <f>'Balance Sheet'!H24</f>
        <v>50676000</v>
      </c>
      <c r="F11" s="79">
        <f>'Balance Sheet'!G24</f>
        <v>52561000</v>
      </c>
      <c r="G11" s="79">
        <f>'Balance Sheet'!F24</f>
        <v>79989000</v>
      </c>
      <c r="H11" s="79">
        <f>'Balance Sheet'!E24</f>
        <v>112698000</v>
      </c>
      <c r="I11" s="79">
        <f>'Balance Sheet'!D24</f>
        <v>125043000</v>
      </c>
      <c r="J11" s="79">
        <f>'Balance Sheet'!C24</f>
        <v>23598000</v>
      </c>
      <c r="K11" s="79">
        <f>'Balance Sheet'!B24</f>
        <v>48842000</v>
      </c>
      <c r="L11" s="79">
        <f>L26*L16</f>
        <v>134208630.64970024</v>
      </c>
      <c r="M11" s="79">
        <f t="shared" ref="M11:P11" si="7">M26*M16</f>
        <v>149575518.85909092</v>
      </c>
      <c r="N11" s="79">
        <f t="shared" si="7"/>
        <v>166701915.76845682</v>
      </c>
      <c r="O11" s="79">
        <f t="shared" si="7"/>
        <v>185789285.12394515</v>
      </c>
      <c r="P11" s="79">
        <f t="shared" si="7"/>
        <v>207062158.27063686</v>
      </c>
    </row>
    <row r="12" spans="1:16">
      <c r="A12" s="81" t="s">
        <v>33</v>
      </c>
      <c r="B12" s="82">
        <f t="shared" ref="B12:K12" si="8">SUM(B8:B11)</f>
        <v>63688000</v>
      </c>
      <c r="C12" s="82">
        <f t="shared" si="8"/>
        <v>100030000</v>
      </c>
      <c r="D12" s="82">
        <f t="shared" si="8"/>
        <v>117512000</v>
      </c>
      <c r="E12" s="82">
        <f t="shared" si="8"/>
        <v>162317000</v>
      </c>
      <c r="F12" s="82">
        <f t="shared" si="8"/>
        <v>203099000</v>
      </c>
      <c r="G12" s="82">
        <f t="shared" si="8"/>
        <v>257444000</v>
      </c>
      <c r="H12" s="82">
        <f t="shared" si="8"/>
        <v>416824000</v>
      </c>
      <c r="I12" s="82">
        <f t="shared" si="8"/>
        <v>459141000</v>
      </c>
      <c r="J12" s="82">
        <f t="shared" si="8"/>
        <v>481863000</v>
      </c>
      <c r="K12" s="82">
        <f t="shared" si="8"/>
        <v>751686000</v>
      </c>
      <c r="L12" s="82">
        <f t="shared" ref="L12" si="9">SUM(L8:L11)</f>
        <v>747579552.50748515</v>
      </c>
      <c r="M12" s="82">
        <f t="shared" ref="M12" si="10">SUM(M8:M11)</f>
        <v>833177411.26959217</v>
      </c>
      <c r="N12" s="82">
        <f t="shared" ref="N12" si="11">SUM(N8:N11)</f>
        <v>928576224.85996044</v>
      </c>
      <c r="O12" s="82">
        <f t="shared" ref="O12" si="12">SUM(O8:O11)</f>
        <v>1034898202.6064261</v>
      </c>
      <c r="P12" s="82">
        <f t="shared" ref="P12" si="13">SUM(P8:P11)</f>
        <v>1153394046.8048618</v>
      </c>
    </row>
    <row r="14" spans="1:16">
      <c r="A14" s="51" t="s">
        <v>96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16">
      <c r="A15" s="80" t="s">
        <v>82</v>
      </c>
      <c r="B15" s="30">
        <v>41306</v>
      </c>
      <c r="C15" s="30">
        <v>41671</v>
      </c>
      <c r="D15" s="30">
        <v>42005</v>
      </c>
      <c r="E15" s="30">
        <v>42370</v>
      </c>
      <c r="F15" s="30">
        <v>42736</v>
      </c>
      <c r="G15" s="30">
        <v>43101</v>
      </c>
      <c r="H15" s="30">
        <v>43497</v>
      </c>
      <c r="I15" s="30">
        <v>43862</v>
      </c>
      <c r="J15" s="30">
        <v>44197</v>
      </c>
      <c r="K15" s="30">
        <v>44562</v>
      </c>
      <c r="L15" s="31">
        <v>44927</v>
      </c>
      <c r="M15" s="31">
        <v>45292</v>
      </c>
      <c r="N15" s="31">
        <v>45658</v>
      </c>
      <c r="O15" s="31">
        <v>46023</v>
      </c>
      <c r="P15" s="39">
        <v>46388</v>
      </c>
    </row>
    <row r="16" spans="1:16">
      <c r="A16" s="54" t="s">
        <v>83</v>
      </c>
      <c r="B16" s="83">
        <f>'Income Statement'!K2</f>
        <v>1370358000</v>
      </c>
      <c r="C16" s="83">
        <f>'Income Statement'!J2</f>
        <v>1591188000</v>
      </c>
      <c r="D16" s="83">
        <f>'Income Statement'!I2</f>
        <v>1797213000</v>
      </c>
      <c r="E16" s="83">
        <f>'Income Statement'!H2</f>
        <v>2060523000</v>
      </c>
      <c r="F16" s="83">
        <f>'Income Statement'!G2</f>
        <v>2344392000</v>
      </c>
      <c r="G16" s="83">
        <f>'Income Statement'!F2</f>
        <v>2649181000</v>
      </c>
      <c r="H16" s="83">
        <f>'Income Statement'!E2</f>
        <v>3288319000</v>
      </c>
      <c r="I16" s="83">
        <f>'Income Statement'!D2</f>
        <v>3979296000</v>
      </c>
      <c r="J16" s="83">
        <f>'Income Statement'!C2</f>
        <v>4401879000</v>
      </c>
      <c r="K16" s="83">
        <f>'Income Statement'!B2</f>
        <v>6256617000</v>
      </c>
      <c r="L16" s="67">
        <f>'Projected Free Cash Flow'!L3</f>
        <v>6972999646.5</v>
      </c>
      <c r="M16" s="83">
        <f>'Projected Free Cash Flow'!M3</f>
        <v>7771408106.02425</v>
      </c>
      <c r="N16" s="67">
        <f>'Projected Free Cash Flow'!N3</f>
        <v>8661234334.1640263</v>
      </c>
      <c r="O16" s="83">
        <f>'Projected Free Cash Flow'!O3</f>
        <v>9652945665.425808</v>
      </c>
      <c r="P16" s="67">
        <f>'Projected Free Cash Flow'!P3</f>
        <v>10758207944.117064</v>
      </c>
    </row>
    <row r="17" spans="1:16">
      <c r="A17" s="54" t="s">
        <v>84</v>
      </c>
      <c r="B17" s="83">
        <f>'Income Statement'!K3</f>
        <v>607352000</v>
      </c>
      <c r="C17" s="83">
        <f>'Income Statement'!J3</f>
        <v>751112000</v>
      </c>
      <c r="D17" s="83">
        <f>'Income Statement'!I3</f>
        <v>883033000</v>
      </c>
      <c r="E17" s="83">
        <f>'Income Statement'!H3</f>
        <v>1063357000</v>
      </c>
      <c r="F17" s="83">
        <f>'Income Statement'!G3</f>
        <v>1144775000</v>
      </c>
      <c r="G17" s="83">
        <f>'Income Statement'!F3</f>
        <v>1250391000</v>
      </c>
      <c r="H17" s="83">
        <f>'Income Statement'!E3</f>
        <v>1472032000</v>
      </c>
      <c r="I17" s="83">
        <f>'Income Statement'!D3</f>
        <v>1755910000</v>
      </c>
      <c r="J17" s="83">
        <f>'Income Statement'!C3</f>
        <v>1937888000</v>
      </c>
      <c r="K17" s="83">
        <f>'Income Statement'!B3</f>
        <v>2648052000</v>
      </c>
      <c r="L17" s="83">
        <f>'Projected Free Cash Flow'!L4</f>
        <v>3232222903.197897</v>
      </c>
      <c r="M17" s="83">
        <f>'Projected Free Cash Flow'!M4</f>
        <v>3602312425.6140561</v>
      </c>
      <c r="N17" s="83">
        <f>'Projected Free Cash Flow'!N4</f>
        <v>4014777198.3468652</v>
      </c>
      <c r="O17" s="83">
        <f>'Projected Free Cash Flow'!O4</f>
        <v>4474469187.5575819</v>
      </c>
      <c r="P17" s="83">
        <f>'Projected Free Cash Flow'!P4</f>
        <v>4986795909.5329247</v>
      </c>
    </row>
    <row r="18" spans="1:16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83"/>
      <c r="L18" s="83"/>
      <c r="M18" s="83"/>
      <c r="N18" s="83"/>
      <c r="O18" s="83"/>
      <c r="P18" s="83"/>
    </row>
    <row r="19" spans="1:16">
      <c r="A19" s="54" t="s">
        <v>113</v>
      </c>
      <c r="B19" s="84">
        <f>B3/B16*360</f>
        <v>1.6684399259171689</v>
      </c>
      <c r="C19" s="84">
        <f t="shared" ref="C19:K19" si="14">C3/C16*360</f>
        <v>2.6930067345907589</v>
      </c>
      <c r="D19" s="84">
        <f t="shared" si="14"/>
        <v>2.7534632789769491</v>
      </c>
      <c r="E19" s="84">
        <f t="shared" si="14"/>
        <v>2.2901370186112944</v>
      </c>
      <c r="F19" s="84">
        <f t="shared" si="14"/>
        <v>1.4127330241700193</v>
      </c>
      <c r="G19" s="84">
        <f t="shared" si="14"/>
        <v>2.6054391904516905</v>
      </c>
      <c r="H19" s="84">
        <f t="shared" si="14"/>
        <v>3.9177950801001966</v>
      </c>
      <c r="I19" s="84">
        <f t="shared" si="14"/>
        <v>3.6385430990808425</v>
      </c>
      <c r="J19" s="84">
        <f t="shared" si="14"/>
        <v>5.1031934317140477</v>
      </c>
      <c r="K19" s="84">
        <f t="shared" si="14"/>
        <v>4.430566870243136</v>
      </c>
      <c r="L19" s="83">
        <f>AVERAGE(B19:K19)</f>
        <v>3.0513317653856102</v>
      </c>
      <c r="M19" s="83">
        <f>L19</f>
        <v>3.0513317653856102</v>
      </c>
      <c r="N19" s="83">
        <f t="shared" ref="N19:P19" si="15">M19</f>
        <v>3.0513317653856102</v>
      </c>
      <c r="O19" s="83">
        <f t="shared" si="15"/>
        <v>3.0513317653856102</v>
      </c>
      <c r="P19" s="83">
        <f t="shared" si="15"/>
        <v>3.0513317653856102</v>
      </c>
    </row>
    <row r="20" spans="1:16">
      <c r="A20" s="54" t="s">
        <v>114</v>
      </c>
      <c r="B20" s="84">
        <f>B4/B16*360</f>
        <v>40.777607019479582</v>
      </c>
      <c r="C20" s="84">
        <f t="shared" ref="C20:K20" si="16">C4/C16*360</f>
        <v>42.712991802351453</v>
      </c>
      <c r="D20" s="84">
        <f t="shared" si="16"/>
        <v>41.687746527540142</v>
      </c>
      <c r="E20" s="84">
        <f t="shared" si="16"/>
        <v>49.620043066735967</v>
      </c>
      <c r="F20" s="84">
        <f t="shared" si="16"/>
        <v>45.826602377076874</v>
      </c>
      <c r="G20" s="84">
        <f t="shared" si="16"/>
        <v>44.784527746499762</v>
      </c>
      <c r="H20" s="84">
        <f t="shared" si="16"/>
        <v>44.321466378414016</v>
      </c>
      <c r="I20" s="84">
        <f t="shared" si="16"/>
        <v>46.908970833031773</v>
      </c>
      <c r="J20" s="84">
        <f t="shared" si="16"/>
        <v>52.932577201690457</v>
      </c>
      <c r="K20" s="84">
        <f t="shared" si="16"/>
        <v>55.610429725840653</v>
      </c>
      <c r="L20" s="83">
        <f t="shared" ref="L20" si="17">AVERAGE(B20:K20)</f>
        <v>46.51829626786607</v>
      </c>
      <c r="M20" s="83">
        <f>L20</f>
        <v>46.51829626786607</v>
      </c>
      <c r="N20" s="83">
        <f t="shared" ref="N20:P20" si="18">M20</f>
        <v>46.51829626786607</v>
      </c>
      <c r="O20" s="83">
        <f t="shared" si="18"/>
        <v>46.51829626786607</v>
      </c>
      <c r="P20" s="83">
        <f t="shared" si="18"/>
        <v>46.51829626786607</v>
      </c>
    </row>
    <row r="21" spans="1:16">
      <c r="A21" s="54" t="s">
        <v>115</v>
      </c>
      <c r="B21" s="84">
        <f>B8/B16*360</f>
        <v>0.27452680248519001</v>
      </c>
      <c r="C21" s="84">
        <f t="shared" ref="C21:K21" si="19">C8/C16*360</f>
        <v>2.8613337958808138</v>
      </c>
      <c r="D21" s="84">
        <f t="shared" si="19"/>
        <v>1.8706964616881807</v>
      </c>
      <c r="E21" s="84">
        <f t="shared" si="19"/>
        <v>1.8136948726124387</v>
      </c>
      <c r="F21" s="84">
        <f t="shared" si="19"/>
        <v>3.8153005128835109</v>
      </c>
      <c r="G21" s="84">
        <f t="shared" si="19"/>
        <v>3.3491709324504439</v>
      </c>
      <c r="H21" s="84">
        <f t="shared" si="19"/>
        <v>10.458802810797858</v>
      </c>
      <c r="I21" s="84">
        <f t="shared" si="19"/>
        <v>7.2371896938553952</v>
      </c>
      <c r="J21" s="84">
        <f t="shared" si="19"/>
        <v>14.086838824965429</v>
      </c>
      <c r="K21" s="84">
        <f t="shared" si="19"/>
        <v>16.670683214267392</v>
      </c>
      <c r="L21" s="83">
        <f>AVERAGE(H21:K21)</f>
        <v>12.113378635971518</v>
      </c>
      <c r="M21" s="83">
        <f>L21</f>
        <v>12.113378635971518</v>
      </c>
      <c r="N21" s="83">
        <f t="shared" ref="N21:P21" si="20">M21</f>
        <v>12.113378635971518</v>
      </c>
      <c r="O21" s="83">
        <f t="shared" si="20"/>
        <v>12.113378635971518</v>
      </c>
      <c r="P21" s="83">
        <f t="shared" si="20"/>
        <v>12.113378635971518</v>
      </c>
    </row>
    <row r="22" spans="1:16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83"/>
      <c r="L22" s="83"/>
      <c r="M22" s="83"/>
      <c r="N22" s="83"/>
      <c r="O22" s="83"/>
      <c r="P22" s="83"/>
    </row>
    <row r="23" spans="1:16">
      <c r="A23" s="54" t="s">
        <v>116</v>
      </c>
      <c r="B23" s="55">
        <f>B5/B16</f>
        <v>2.5760421729212366E-2</v>
      </c>
      <c r="C23" s="55">
        <f t="shared" ref="C23:K23" si="21">C5/C16</f>
        <v>2.9033024381782669E-2</v>
      </c>
      <c r="D23" s="55">
        <f t="shared" si="21"/>
        <v>1.3423005509085456E-2</v>
      </c>
      <c r="E23" s="55">
        <f t="shared" si="21"/>
        <v>1.3097160284063804E-2</v>
      </c>
      <c r="F23" s="55">
        <f t="shared" si="21"/>
        <v>1.6664875157396886E-2</v>
      </c>
      <c r="G23" s="55">
        <f t="shared" si="21"/>
        <v>1.8155799849085434E-2</v>
      </c>
      <c r="H23" s="55">
        <f t="shared" si="21"/>
        <v>1.7622681984320866E-2</v>
      </c>
      <c r="I23" s="55">
        <f t="shared" si="21"/>
        <v>1.0652638054570456E-3</v>
      </c>
      <c r="J23" s="55">
        <f t="shared" si="21"/>
        <v>5.810927560707598E-3</v>
      </c>
      <c r="K23" s="55">
        <f t="shared" si="21"/>
        <v>5.2024920176510728E-3</v>
      </c>
      <c r="L23" s="88">
        <f>AVERAGE(G23:K23)</f>
        <v>9.5714330434444033E-3</v>
      </c>
      <c r="M23" s="88">
        <f>L23</f>
        <v>9.5714330434444033E-3</v>
      </c>
      <c r="N23" s="88">
        <f t="shared" ref="N23:P23" si="22">M23</f>
        <v>9.5714330434444033E-3</v>
      </c>
      <c r="O23" s="88">
        <f t="shared" si="22"/>
        <v>9.5714330434444033E-3</v>
      </c>
      <c r="P23" s="88">
        <f t="shared" si="22"/>
        <v>9.5714330434444033E-3</v>
      </c>
    </row>
    <row r="24" spans="1:16">
      <c r="A24" s="54" t="s">
        <v>126</v>
      </c>
      <c r="B24" s="55">
        <f>B9/B16</f>
        <v>2.0089640809190006E-2</v>
      </c>
      <c r="C24" s="55">
        <f t="shared" ref="C24:K24" si="23">C9/C16</f>
        <v>1.222042901278793E-2</v>
      </c>
      <c r="D24" s="55">
        <f t="shared" si="23"/>
        <v>1.6654675878707753E-2</v>
      </c>
      <c r="E24" s="55">
        <f t="shared" si="23"/>
        <v>2.1122792611390408E-2</v>
      </c>
      <c r="F24" s="55">
        <f t="shared" si="23"/>
        <v>2.3561759296226909E-2</v>
      </c>
      <c r="G24" s="55">
        <f t="shared" si="23"/>
        <v>2.6476484619208727E-2</v>
      </c>
      <c r="H24" s="55">
        <f t="shared" si="23"/>
        <v>3.3202678937171243E-2</v>
      </c>
      <c r="I24" s="55">
        <f t="shared" si="23"/>
        <v>3.3595892338745346E-2</v>
      </c>
      <c r="J24" s="55">
        <f t="shared" si="23"/>
        <v>2.9571689726137405E-2</v>
      </c>
      <c r="K24" s="55">
        <f t="shared" si="23"/>
        <v>3.2752684078312611E-2</v>
      </c>
      <c r="L24" s="88">
        <f>AVERAGE(B24:K24)</f>
        <v>2.4924872730787834E-2</v>
      </c>
      <c r="M24" s="88">
        <f>L24</f>
        <v>2.4924872730787834E-2</v>
      </c>
      <c r="N24" s="88">
        <f t="shared" ref="N24:P24" si="24">M24</f>
        <v>2.4924872730787834E-2</v>
      </c>
      <c r="O24" s="88">
        <f t="shared" si="24"/>
        <v>2.4924872730787834E-2</v>
      </c>
      <c r="P24" s="88">
        <f t="shared" si="24"/>
        <v>2.4924872730787834E-2</v>
      </c>
    </row>
    <row r="25" spans="1:16">
      <c r="A25" s="54" t="s">
        <v>127</v>
      </c>
      <c r="B25" s="55">
        <f>B10/B16</f>
        <v>2.562323130160148E-2</v>
      </c>
      <c r="C25" s="55">
        <f t="shared" ref="C25:K25" si="25">C10/C16</f>
        <v>2.4097089721641943E-2</v>
      </c>
      <c r="D25" s="55">
        <f t="shared" si="25"/>
        <v>2.5735402537150578E-2</v>
      </c>
      <c r="E25" s="55">
        <f t="shared" si="25"/>
        <v>2.8020070632552997E-2</v>
      </c>
      <c r="F25" s="55">
        <f t="shared" si="25"/>
        <v>3.0052141450747145E-2</v>
      </c>
      <c r="G25" s="55">
        <f t="shared" si="25"/>
        <v>3.1205115845236699E-2</v>
      </c>
      <c r="H25" s="55">
        <f t="shared" si="25"/>
        <v>3.0231860108462714E-2</v>
      </c>
      <c r="I25" s="55">
        <f t="shared" si="25"/>
        <v>3.0259875113587933E-2</v>
      </c>
      <c r="J25" s="55">
        <f t="shared" si="25"/>
        <v>3.5404880506710881E-2</v>
      </c>
      <c r="K25" s="55">
        <f t="shared" si="25"/>
        <v>3.3275970064972814E-2</v>
      </c>
      <c r="L25" s="88">
        <f t="shared" ref="L25:L26" si="26">AVERAGE(B25:K25)</f>
        <v>2.9390563728266518E-2</v>
      </c>
      <c r="M25" s="88">
        <f>L25</f>
        <v>2.9390563728266518E-2</v>
      </c>
      <c r="N25" s="88">
        <f t="shared" ref="N25:P25" si="27">M25</f>
        <v>2.9390563728266518E-2</v>
      </c>
      <c r="O25" s="88">
        <f t="shared" si="27"/>
        <v>2.9390563728266518E-2</v>
      </c>
      <c r="P25" s="88">
        <f t="shared" si="27"/>
        <v>2.9390563728266518E-2</v>
      </c>
    </row>
    <row r="26" spans="1:16">
      <c r="A26" s="54" t="s">
        <v>117</v>
      </c>
      <c r="B26" s="55">
        <f>B11/B16</f>
        <v>0</v>
      </c>
      <c r="C26" s="55">
        <f t="shared" ref="C26:K26" si="28">C11/C16</f>
        <v>1.859931070370063E-2</v>
      </c>
      <c r="D26" s="55">
        <f t="shared" si="28"/>
        <v>1.779922580128232E-2</v>
      </c>
      <c r="E26" s="55">
        <f t="shared" si="28"/>
        <v>2.459375605125495E-2</v>
      </c>
      <c r="F26" s="55">
        <f t="shared" si="28"/>
        <v>2.2419885411654707E-2</v>
      </c>
      <c r="G26" s="55">
        <f t="shared" si="28"/>
        <v>3.0193859913686533E-2</v>
      </c>
      <c r="H26" s="55">
        <f t="shared" si="28"/>
        <v>3.4272222372586113E-2</v>
      </c>
      <c r="I26" s="55">
        <f t="shared" si="28"/>
        <v>3.1423397505488407E-2</v>
      </c>
      <c r="J26" s="55">
        <f t="shared" si="28"/>
        <v>5.3608924734187382E-3</v>
      </c>
      <c r="K26" s="55">
        <f t="shared" si="28"/>
        <v>7.8064551498037999E-3</v>
      </c>
      <c r="L26" s="88">
        <f t="shared" si="26"/>
        <v>1.924690053828762E-2</v>
      </c>
      <c r="M26" s="88">
        <f>L26</f>
        <v>1.924690053828762E-2</v>
      </c>
      <c r="N26" s="88">
        <f t="shared" ref="N26:P26" si="29">M26</f>
        <v>1.924690053828762E-2</v>
      </c>
      <c r="O26" s="88">
        <f t="shared" si="29"/>
        <v>1.924690053828762E-2</v>
      </c>
      <c r="P26" s="88">
        <f t="shared" si="29"/>
        <v>1.924690053828762E-2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32F0-6889-4171-BB85-5A47256D764E}">
  <dimension ref="A1:Q20"/>
  <sheetViews>
    <sheetView tabSelected="1" workbookViewId="0">
      <selection activeCell="E11" sqref="E11:J16"/>
    </sheetView>
  </sheetViews>
  <sheetFormatPr defaultRowHeight="15"/>
  <cols>
    <col min="1" max="1" width="31.140625" bestFit="1" customWidth="1"/>
    <col min="2" max="2" width="13.85546875" bestFit="1" customWidth="1"/>
    <col min="3" max="3" width="11.140625" bestFit="1" customWidth="1"/>
    <col min="4" max="4" width="9.85546875" bestFit="1" customWidth="1"/>
    <col min="5" max="6" width="11.140625" bestFit="1" customWidth="1"/>
    <col min="7" max="8" width="10.85546875" bestFit="1" customWidth="1"/>
    <col min="9" max="10" width="10.140625" bestFit="1" customWidth="1"/>
    <col min="11" max="12" width="11.140625" bestFit="1" customWidth="1"/>
    <col min="13" max="13" width="12.7109375" bestFit="1" customWidth="1"/>
    <col min="14" max="17" width="11.140625" bestFit="1" customWidth="1"/>
  </cols>
  <sheetData>
    <row r="1" spans="1:17">
      <c r="A1" s="70" t="s">
        <v>81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>
      <c r="A2" s="71" t="s">
        <v>82</v>
      </c>
      <c r="B2" s="89"/>
      <c r="C2" s="30">
        <v>41306</v>
      </c>
      <c r="D2" s="30">
        <v>41671</v>
      </c>
      <c r="E2" s="30">
        <v>42005</v>
      </c>
      <c r="F2" s="30">
        <v>42370</v>
      </c>
      <c r="G2" s="30">
        <v>42736</v>
      </c>
      <c r="H2" s="30">
        <v>43101</v>
      </c>
      <c r="I2" s="30">
        <v>43497</v>
      </c>
      <c r="J2" s="30">
        <v>43862</v>
      </c>
      <c r="K2" s="30">
        <v>44197</v>
      </c>
      <c r="L2" s="30">
        <v>44562</v>
      </c>
      <c r="M2" s="31">
        <v>44927</v>
      </c>
      <c r="N2" s="31">
        <v>45292</v>
      </c>
      <c r="O2" s="31">
        <v>45658</v>
      </c>
      <c r="P2" s="31">
        <v>46023</v>
      </c>
      <c r="Q2" s="39">
        <v>46388</v>
      </c>
    </row>
    <row r="3" spans="1:17">
      <c r="A3" s="72" t="s">
        <v>95</v>
      </c>
      <c r="B3" s="73"/>
      <c r="C3" s="73">
        <f>'Projected Free Cash Flow'!B20</f>
        <v>173245000</v>
      </c>
      <c r="D3" s="73">
        <f>'Projected Free Cash Flow'!C20</f>
        <v>-8258000</v>
      </c>
      <c r="E3" s="73">
        <f>'Projected Free Cash Flow'!D20</f>
        <v>150392000</v>
      </c>
      <c r="F3" s="73">
        <f>'Projected Free Cash Flow'!E20</f>
        <v>222737000</v>
      </c>
      <c r="G3" s="73">
        <f>'Projected Free Cash Flow'!F20</f>
        <v>-76919000</v>
      </c>
      <c r="H3" s="73">
        <f>'Projected Free Cash Flow'!G20</f>
        <v>-88644000</v>
      </c>
      <c r="I3" s="73">
        <f>'Projected Free Cash Flow'!H20</f>
        <v>38962000</v>
      </c>
      <c r="J3" s="73">
        <f>'Projected Free Cash Flow'!I20</f>
        <v>67107000</v>
      </c>
      <c r="K3" s="73">
        <f>'Projected Free Cash Flow'!J20</f>
        <v>382478000</v>
      </c>
      <c r="L3" s="73">
        <f>'Projected Free Cash Flow'!K20</f>
        <v>951600000</v>
      </c>
      <c r="M3" s="73">
        <f>'Projected Free Cash Flow'!L20</f>
        <v>1532134132.8352442</v>
      </c>
      <c r="N3" s="73">
        <f>'Projected Free Cash Flow'!M20</f>
        <v>619219885.03984046</v>
      </c>
      <c r="O3" s="73">
        <f>'Projected Free Cash Flow'!N20</f>
        <v>667006656.94309914</v>
      </c>
      <c r="P3" s="73">
        <f>'Projected Free Cash Flow'!O20</f>
        <v>716166720.58152258</v>
      </c>
      <c r="Q3" s="73">
        <f>'Projected Free Cash Flow'!P20</f>
        <v>766130655.23421729</v>
      </c>
    </row>
    <row r="5" spans="1:17">
      <c r="A5" s="72" t="s">
        <v>128</v>
      </c>
      <c r="M5" s="72">
        <v>1</v>
      </c>
      <c r="N5" s="72">
        <v>2</v>
      </c>
      <c r="O5" s="72">
        <v>3</v>
      </c>
      <c r="P5" s="72">
        <v>4</v>
      </c>
      <c r="Q5" s="72">
        <v>5</v>
      </c>
    </row>
    <row r="6" spans="1:17">
      <c r="A6" s="74" t="s">
        <v>129</v>
      </c>
      <c r="B6" s="74"/>
      <c r="C6" s="74"/>
      <c r="D6" s="74"/>
      <c r="E6" s="74"/>
      <c r="F6" s="75"/>
      <c r="G6" s="75"/>
      <c r="H6" s="75"/>
      <c r="I6" s="75"/>
      <c r="J6" s="75"/>
      <c r="K6" s="75"/>
      <c r="L6" s="75"/>
      <c r="M6" s="75">
        <f>M3/(1+$B$11)^M5</f>
        <v>1407973923.5504415</v>
      </c>
      <c r="N6" s="75">
        <f t="shared" ref="N6:Q6" si="0">N3/(1+$B$11)^N5</f>
        <v>522926368.55308312</v>
      </c>
      <c r="O6" s="75">
        <f t="shared" si="0"/>
        <v>517635006.73694158</v>
      </c>
      <c r="P6" s="75">
        <f t="shared" si="0"/>
        <v>510746536.79142123</v>
      </c>
      <c r="Q6" s="75">
        <f t="shared" si="0"/>
        <v>502102008.08285189</v>
      </c>
    </row>
    <row r="8" spans="1:17">
      <c r="A8" s="90" t="s">
        <v>130</v>
      </c>
      <c r="B8" s="91"/>
      <c r="D8" s="90" t="s">
        <v>131</v>
      </c>
      <c r="E8" s="91"/>
      <c r="F8" s="91"/>
      <c r="G8" s="91"/>
      <c r="H8" s="91"/>
      <c r="I8" s="91"/>
      <c r="J8" s="91"/>
    </row>
    <row r="9" spans="1:17">
      <c r="A9" s="92" t="s">
        <v>132</v>
      </c>
      <c r="B9" s="73">
        <f>SUM(M6:Q6)</f>
        <v>3461383843.7147398</v>
      </c>
    </row>
    <row r="10" spans="1:17">
      <c r="A10" s="92" t="s">
        <v>133</v>
      </c>
      <c r="B10" s="105">
        <v>4.2000000000000003E-2</v>
      </c>
      <c r="D10" s="92"/>
      <c r="E10" s="92"/>
      <c r="F10" s="90" t="s">
        <v>133</v>
      </c>
      <c r="G10" s="91"/>
      <c r="H10" s="91"/>
      <c r="I10" s="91"/>
      <c r="J10" s="91"/>
    </row>
    <row r="11" spans="1:17">
      <c r="A11" s="92" t="s">
        <v>134</v>
      </c>
      <c r="B11" s="93">
        <f>WACC!B17</f>
        <v>8.8183600000000001E-2</v>
      </c>
      <c r="D11" s="92"/>
      <c r="E11" s="94">
        <f>B20</f>
        <v>125.38860480616289</v>
      </c>
      <c r="F11" s="95">
        <f>G11-0.5%</f>
        <v>3.2000000000000008E-2</v>
      </c>
      <c r="G11" s="95">
        <f>H11-0.5%</f>
        <v>3.7000000000000005E-2</v>
      </c>
      <c r="H11" s="111">
        <v>4.2000000000000003E-2</v>
      </c>
      <c r="I11" s="95">
        <f>H11+0.5%</f>
        <v>4.7E-2</v>
      </c>
      <c r="J11" s="95">
        <f>I11+0.5%</f>
        <v>5.1999999999999998E-2</v>
      </c>
    </row>
    <row r="12" spans="1:17">
      <c r="A12" s="92" t="s">
        <v>135</v>
      </c>
      <c r="B12" s="73">
        <f>Q3*(1+B10)/(B11-B10)</f>
        <v>17285533019.384682</v>
      </c>
      <c r="D12" s="96" t="s">
        <v>134</v>
      </c>
      <c r="E12" s="95">
        <f>E13-0.5%</f>
        <v>7.8183599999999992E-2</v>
      </c>
      <c r="F12" s="94">
        <f t="dataTable" ref="F12:J16" dt2D="1" dtr="1" r1="B10" r2="B11"/>
        <v>129.30740708886319</v>
      </c>
      <c r="G12" s="94">
        <v>140.95080925345368</v>
      </c>
      <c r="H12" s="94">
        <v>155.81207867409123</v>
      </c>
      <c r="I12" s="94">
        <v>175.43908053762746</v>
      </c>
      <c r="J12" s="94">
        <v>202.56199658543792</v>
      </c>
    </row>
    <row r="13" spans="1:17">
      <c r="A13" s="92" t="s">
        <v>136</v>
      </c>
      <c r="B13" s="73">
        <f>B12/(1+B11)^Q5</f>
        <v>11328486571.47411</v>
      </c>
      <c r="C13" s="73"/>
      <c r="D13" s="91"/>
      <c r="E13" s="95">
        <f>E14-0.5%</f>
        <v>8.3183599999999996E-2</v>
      </c>
      <c r="F13" s="94">
        <v>118.12927158297929</v>
      </c>
      <c r="G13" s="97">
        <v>127.32605500601846</v>
      </c>
      <c r="H13" s="97">
        <v>138.75595632623987</v>
      </c>
      <c r="I13" s="97">
        <v>153.34472003721874</v>
      </c>
      <c r="J13" s="94">
        <v>172.61182868302839</v>
      </c>
    </row>
    <row r="14" spans="1:17">
      <c r="A14" s="92" t="s">
        <v>137</v>
      </c>
      <c r="B14" s="73">
        <f>B13+B9</f>
        <v>14789870415.18885</v>
      </c>
      <c r="D14" s="91"/>
      <c r="E14" s="95">
        <v>8.8183600000000001E-2</v>
      </c>
      <c r="F14" s="94">
        <v>108.93781253265446</v>
      </c>
      <c r="G14" s="97">
        <v>116.35968995083923</v>
      </c>
      <c r="H14" s="98">
        <v>125.38860480616289</v>
      </c>
      <c r="I14" s="97">
        <v>136.60987653541778</v>
      </c>
      <c r="J14" s="94">
        <v>150.93235205015981</v>
      </c>
    </row>
    <row r="15" spans="1:17">
      <c r="A15" s="99" t="s">
        <v>138</v>
      </c>
      <c r="B15" s="73">
        <f>'Balance Sheet'!B3</f>
        <v>1259871000</v>
      </c>
      <c r="D15" s="91"/>
      <c r="E15" s="95">
        <f>E14+0.5%</f>
        <v>9.3183600000000005E-2</v>
      </c>
      <c r="F15" s="94">
        <v>101.24598271085942</v>
      </c>
      <c r="G15" s="97">
        <v>107.34199527388837</v>
      </c>
      <c r="H15" s="97">
        <v>114.62901678568784</v>
      </c>
      <c r="I15" s="97">
        <v>123.4938757791473</v>
      </c>
      <c r="J15" s="94">
        <v>134.51125640584416</v>
      </c>
    </row>
    <row r="16" spans="1:17">
      <c r="A16" s="99" t="s">
        <v>139</v>
      </c>
      <c r="B16" s="73">
        <f>WACC!B3</f>
        <v>0</v>
      </c>
      <c r="D16" s="91"/>
      <c r="E16" s="95">
        <f>E15+0.5%</f>
        <v>9.818360000000001E-2</v>
      </c>
      <c r="F16" s="94">
        <v>94.713915824041976</v>
      </c>
      <c r="G16" s="94">
        <v>99.795248698946864</v>
      </c>
      <c r="H16" s="94">
        <v>105.78099725296542</v>
      </c>
      <c r="I16" s="94">
        <v>112.93621191605374</v>
      </c>
      <c r="J16" s="94">
        <v>121.64072430887478</v>
      </c>
    </row>
    <row r="17" spans="1:2">
      <c r="A17" s="99" t="s">
        <v>140</v>
      </c>
      <c r="B17" s="73">
        <v>0</v>
      </c>
    </row>
    <row r="18" spans="1:2">
      <c r="A18" s="100" t="s">
        <v>141</v>
      </c>
      <c r="B18" s="101">
        <f>B14+B15-B16-B17</f>
        <v>16049741415.18885</v>
      </c>
    </row>
    <row r="19" spans="1:2">
      <c r="A19" s="92" t="s">
        <v>156</v>
      </c>
      <c r="B19" s="101">
        <v>128000000</v>
      </c>
    </row>
    <row r="20" spans="1:2">
      <c r="A20" s="102" t="s">
        <v>142</v>
      </c>
      <c r="B20" s="103">
        <f>B18/B19</f>
        <v>125.38860480616289</v>
      </c>
    </row>
  </sheetData>
  <mergeCells count="4">
    <mergeCell ref="A8:B8"/>
    <mergeCell ref="D8:J8"/>
    <mergeCell ref="F10:J10"/>
    <mergeCell ref="D12:D1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082E-DEE6-4623-ADF4-8919102D5A82}">
  <dimension ref="A1:B17"/>
  <sheetViews>
    <sheetView workbookViewId="0">
      <selection activeCell="B17" sqref="B17"/>
    </sheetView>
  </sheetViews>
  <sheetFormatPr defaultRowHeight="15"/>
  <cols>
    <col min="1" max="1" width="33.28515625" bestFit="1" customWidth="1"/>
    <col min="2" max="2" width="12.7109375" bestFit="1" customWidth="1"/>
  </cols>
  <sheetData>
    <row r="1" spans="1:2">
      <c r="A1" s="90" t="s">
        <v>143</v>
      </c>
      <c r="B1" s="91"/>
    </row>
    <row r="2" spans="1:2">
      <c r="A2" s="92" t="s">
        <v>154</v>
      </c>
      <c r="B2" s="104">
        <v>2740046000</v>
      </c>
    </row>
    <row r="3" spans="1:2">
      <c r="A3" s="92" t="s">
        <v>155</v>
      </c>
      <c r="B3" s="73">
        <v>0</v>
      </c>
    </row>
    <row r="4" spans="1:2">
      <c r="A4" s="92"/>
      <c r="B4" s="92"/>
    </row>
    <row r="5" spans="1:2">
      <c r="A5" s="92" t="s">
        <v>144</v>
      </c>
      <c r="B5" s="93"/>
    </row>
    <row r="6" spans="1:2">
      <c r="A6" s="92" t="s">
        <v>145</v>
      </c>
      <c r="B6" s="105"/>
    </row>
    <row r="7" spans="1:2">
      <c r="A7" s="92" t="s">
        <v>146</v>
      </c>
      <c r="B7" s="93">
        <f>B3/(B3+B2)</f>
        <v>0</v>
      </c>
    </row>
    <row r="8" spans="1:2">
      <c r="A8" s="74" t="s">
        <v>147</v>
      </c>
      <c r="B8" s="106">
        <v>0</v>
      </c>
    </row>
    <row r="9" spans="1:2">
      <c r="A9" s="107"/>
      <c r="B9" s="108"/>
    </row>
    <row r="10" spans="1:2">
      <c r="A10" s="92" t="s">
        <v>148</v>
      </c>
      <c r="B10" s="105">
        <v>4.163E-2</v>
      </c>
    </row>
    <row r="11" spans="1:2">
      <c r="A11" s="92" t="s">
        <v>149</v>
      </c>
      <c r="B11" s="105">
        <v>7.8E-2</v>
      </c>
    </row>
    <row r="12" spans="1:2">
      <c r="A12" s="92" t="s">
        <v>150</v>
      </c>
      <c r="B12" s="93">
        <f>B11-B10</f>
        <v>3.637E-2</v>
      </c>
    </row>
    <row r="13" spans="1:2">
      <c r="A13" s="92" t="s">
        <v>151</v>
      </c>
      <c r="B13" s="109">
        <v>1.28</v>
      </c>
    </row>
    <row r="14" spans="1:2">
      <c r="A14" s="92" t="s">
        <v>152</v>
      </c>
      <c r="B14" s="93">
        <f>B2/(B2+B3)</f>
        <v>1</v>
      </c>
    </row>
    <row r="15" spans="1:2">
      <c r="A15" s="74" t="s">
        <v>153</v>
      </c>
      <c r="B15" s="106">
        <f>B10+B13*(B11-B10)</f>
        <v>8.8183600000000001E-2</v>
      </c>
    </row>
    <row r="16" spans="1:2">
      <c r="A16" s="92"/>
      <c r="B16" s="92"/>
    </row>
    <row r="17" spans="1:2">
      <c r="A17" s="102" t="s">
        <v>134</v>
      </c>
      <c r="B17" s="110">
        <f>B15*B14</f>
        <v>8.8183600000000001E-2</v>
      </c>
    </row>
  </sheetData>
  <mergeCells count="1"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Statement</vt:lpstr>
      <vt:lpstr>Balance Sheet</vt:lpstr>
      <vt:lpstr>Cash Flow Statements</vt:lpstr>
      <vt:lpstr>Projected Free Cash Flow</vt:lpstr>
      <vt:lpstr>Projected Fixed Assets</vt:lpstr>
      <vt:lpstr>Projected Net Working Capital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 Varfolomeev</cp:lastModifiedBy>
  <dcterms:created xsi:type="dcterms:W3CDTF">2015-06-05T18:17:20Z</dcterms:created>
  <dcterms:modified xsi:type="dcterms:W3CDTF">2022-11-04T23:51:35Z</dcterms:modified>
</cp:coreProperties>
</file>