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Nikita\Documents\Notebook\"/>
    </mc:Choice>
  </mc:AlternateContent>
  <xr:revisionPtr revIDLastSave="0" documentId="13_ncr:1_{A7E57597-066C-4633-B020-9BE7CA56425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Income Statement" sheetId="3" r:id="rId1"/>
    <sheet name="Balance Sheet" sheetId="2" r:id="rId2"/>
    <sheet name="Cash Flow Statement" sheetId="1" r:id="rId3"/>
    <sheet name="DCF" sheetId="4" r:id="rId4"/>
    <sheet name="WACC" sheetId="5" r:id="rId5"/>
    <sheet name="Market Shar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6" l="1"/>
  <c r="E5" i="6"/>
  <c r="E6" i="6"/>
  <c r="E7" i="6"/>
  <c r="E8" i="6"/>
  <c r="E9" i="6"/>
  <c r="E4" i="6"/>
  <c r="K5" i="4"/>
  <c r="G4" i="4"/>
  <c r="V63" i="4"/>
  <c r="V61" i="4"/>
  <c r="V57" i="4"/>
  <c r="V56" i="4"/>
  <c r="D9" i="4"/>
  <c r="V60" i="4"/>
  <c r="V59" i="4"/>
  <c r="V54" i="4"/>
  <c r="U54" i="4"/>
  <c r="T54" i="4"/>
  <c r="S54" i="4"/>
  <c r="R54" i="4"/>
  <c r="D22" i="5"/>
  <c r="D15" i="5"/>
  <c r="D14" i="5"/>
  <c r="D9" i="5"/>
  <c r="D8" i="5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E53" i="4"/>
  <c r="S50" i="4"/>
  <c r="T50" i="4"/>
  <c r="U50" i="4"/>
  <c r="V50" i="4"/>
  <c r="R50" i="4"/>
  <c r="S47" i="4"/>
  <c r="T47" i="4"/>
  <c r="U47" i="4"/>
  <c r="V47" i="4"/>
  <c r="R47" i="4"/>
  <c r="S44" i="4"/>
  <c r="T44" i="4"/>
  <c r="U44" i="4"/>
  <c r="V44" i="4"/>
  <c r="R44" i="4"/>
  <c r="R42" i="4"/>
  <c r="S42" i="4"/>
  <c r="T42" i="4"/>
  <c r="U42" i="4"/>
  <c r="V42" i="4"/>
  <c r="S39" i="4"/>
  <c r="T39" i="4"/>
  <c r="U39" i="4"/>
  <c r="V39" i="4"/>
  <c r="R39" i="4"/>
  <c r="S36" i="4"/>
  <c r="T36" i="4"/>
  <c r="U36" i="4"/>
  <c r="V36" i="4"/>
  <c r="R36" i="4"/>
  <c r="S33" i="4"/>
  <c r="T33" i="4"/>
  <c r="U33" i="4"/>
  <c r="V33" i="4"/>
  <c r="R33" i="4"/>
  <c r="S29" i="4"/>
  <c r="T29" i="4"/>
  <c r="U29" i="4"/>
  <c r="V29" i="4"/>
  <c r="R29" i="4"/>
  <c r="S26" i="4"/>
  <c r="T26" i="4"/>
  <c r="U26" i="4"/>
  <c r="V26" i="4"/>
  <c r="R26" i="4"/>
  <c r="S23" i="4"/>
  <c r="T23" i="4"/>
  <c r="U23" i="4"/>
  <c r="V23" i="4"/>
  <c r="R23" i="4"/>
  <c r="S19" i="4"/>
  <c r="T19" i="4"/>
  <c r="U19" i="4"/>
  <c r="V19" i="4"/>
  <c r="S16" i="4"/>
  <c r="T16" i="4"/>
  <c r="U16" i="4"/>
  <c r="V16" i="4"/>
  <c r="R19" i="4"/>
  <c r="R16" i="4"/>
  <c r="S13" i="4"/>
  <c r="T13" i="4"/>
  <c r="U13" i="4"/>
  <c r="V13" i="4"/>
  <c r="R13" i="4"/>
  <c r="S51" i="4"/>
  <c r="T51" i="4"/>
  <c r="U51" i="4"/>
  <c r="V51" i="4"/>
  <c r="R51" i="4"/>
  <c r="S48" i="4"/>
  <c r="T48" i="4"/>
  <c r="U48" i="4"/>
  <c r="V48" i="4"/>
  <c r="R48" i="4"/>
  <c r="S45" i="4"/>
  <c r="T45" i="4"/>
  <c r="U45" i="4"/>
  <c r="V45" i="4"/>
  <c r="R45" i="4"/>
  <c r="S40" i="4"/>
  <c r="T40" i="4"/>
  <c r="U40" i="4"/>
  <c r="V40" i="4"/>
  <c r="R40" i="4"/>
  <c r="S37" i="4"/>
  <c r="T37" i="4"/>
  <c r="U37" i="4"/>
  <c r="V37" i="4"/>
  <c r="R37" i="4"/>
  <c r="S34" i="4"/>
  <c r="T34" i="4"/>
  <c r="U34" i="4"/>
  <c r="V34" i="4"/>
  <c r="R34" i="4"/>
  <c r="T30" i="4"/>
  <c r="U30" i="4" s="1"/>
  <c r="V30" i="4" s="1"/>
  <c r="S30" i="4"/>
  <c r="T27" i="4"/>
  <c r="U27" i="4" s="1"/>
  <c r="V27" i="4" s="1"/>
  <c r="S27" i="4"/>
  <c r="T24" i="4"/>
  <c r="U24" i="4"/>
  <c r="V24" i="4"/>
  <c r="S24" i="4"/>
  <c r="T20" i="4"/>
  <c r="U20" i="4" s="1"/>
  <c r="V20" i="4" s="1"/>
  <c r="S20" i="4"/>
  <c r="T17" i="4"/>
  <c r="U17" i="4" s="1"/>
  <c r="V17" i="4" s="1"/>
  <c r="S17" i="4"/>
  <c r="T14" i="4"/>
  <c r="U14" i="4" s="1"/>
  <c r="V14" i="4" s="1"/>
  <c r="S14" i="4"/>
  <c r="R30" i="4"/>
  <c r="R27" i="4"/>
  <c r="R24" i="4"/>
  <c r="R20" i="4"/>
  <c r="R17" i="4"/>
  <c r="R14" i="4"/>
  <c r="F51" i="4"/>
  <c r="G51" i="4"/>
  <c r="H51" i="4"/>
  <c r="I51" i="4"/>
  <c r="J51" i="4"/>
  <c r="K51" i="4"/>
  <c r="L51" i="4"/>
  <c r="M51" i="4"/>
  <c r="N51" i="4"/>
  <c r="O51" i="4"/>
  <c r="P51" i="4"/>
  <c r="Q51" i="4"/>
  <c r="E51" i="4"/>
  <c r="F50" i="4"/>
  <c r="G50" i="4"/>
  <c r="H50" i="4"/>
  <c r="I50" i="4"/>
  <c r="J50" i="4"/>
  <c r="K50" i="4"/>
  <c r="L50" i="4"/>
  <c r="M50" i="4"/>
  <c r="N50" i="4"/>
  <c r="O50" i="4"/>
  <c r="P50" i="4"/>
  <c r="Q50" i="4"/>
  <c r="E50" i="4"/>
  <c r="E29" i="4"/>
  <c r="E30" i="4" s="1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D48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D47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D45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D44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D42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D40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D39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D37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D36" i="4"/>
  <c r="F34" i="4"/>
  <c r="G34" i="4"/>
  <c r="H34" i="4"/>
  <c r="I34" i="4"/>
  <c r="J34" i="4"/>
  <c r="K34" i="4"/>
  <c r="L34" i="4"/>
  <c r="M34" i="4"/>
  <c r="N34" i="4"/>
  <c r="O34" i="4"/>
  <c r="P34" i="4"/>
  <c r="Q34" i="4"/>
  <c r="E34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D33" i="4"/>
  <c r="F30" i="4"/>
  <c r="G30" i="4"/>
  <c r="H30" i="4"/>
  <c r="I30" i="4"/>
  <c r="J30" i="4"/>
  <c r="K30" i="4"/>
  <c r="L30" i="4"/>
  <c r="M30" i="4"/>
  <c r="N30" i="4"/>
  <c r="F29" i="4"/>
  <c r="G29" i="4"/>
  <c r="H29" i="4"/>
  <c r="I29" i="4"/>
  <c r="J29" i="4"/>
  <c r="K29" i="4"/>
  <c r="L29" i="4"/>
  <c r="M29" i="4"/>
  <c r="N29" i="4"/>
  <c r="O29" i="4"/>
  <c r="P29" i="4"/>
  <c r="Q29" i="4"/>
  <c r="D27" i="4"/>
  <c r="E27" i="4"/>
  <c r="F27" i="4"/>
  <c r="G27" i="4"/>
  <c r="H27" i="4"/>
  <c r="I27" i="4"/>
  <c r="J27" i="4"/>
  <c r="K27" i="4"/>
  <c r="L27" i="4"/>
  <c r="M27" i="4"/>
  <c r="N27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D26" i="4"/>
  <c r="D24" i="4"/>
  <c r="E24" i="4"/>
  <c r="F24" i="4"/>
  <c r="G24" i="4"/>
  <c r="H24" i="4"/>
  <c r="I24" i="4"/>
  <c r="J24" i="4"/>
  <c r="K24" i="4"/>
  <c r="L24" i="4"/>
  <c r="M24" i="4"/>
  <c r="N24" i="4"/>
  <c r="F23" i="4"/>
  <c r="G23" i="4"/>
  <c r="H23" i="4"/>
  <c r="I23" i="4"/>
  <c r="J23" i="4"/>
  <c r="K23" i="4"/>
  <c r="L23" i="4"/>
  <c r="M23" i="4"/>
  <c r="N23" i="4"/>
  <c r="O23" i="4"/>
  <c r="P23" i="4"/>
  <c r="Q23" i="4"/>
  <c r="E23" i="4"/>
  <c r="D23" i="4"/>
  <c r="E19" i="4"/>
  <c r="E20" i="4" s="1"/>
  <c r="F19" i="4"/>
  <c r="G19" i="4"/>
  <c r="H19" i="4"/>
  <c r="I19" i="4"/>
  <c r="I20" i="4" s="1"/>
  <c r="J19" i="4"/>
  <c r="K19" i="4"/>
  <c r="L19" i="4"/>
  <c r="M19" i="4"/>
  <c r="N19" i="4"/>
  <c r="O19" i="4"/>
  <c r="P19" i="4"/>
  <c r="Q19" i="4"/>
  <c r="D19" i="4"/>
  <c r="D20" i="4" s="1"/>
  <c r="E16" i="4"/>
  <c r="F16" i="4"/>
  <c r="G16" i="4"/>
  <c r="G17" i="4" s="1"/>
  <c r="H16" i="4"/>
  <c r="H17" i="4" s="1"/>
  <c r="I16" i="4"/>
  <c r="I17" i="4" s="1"/>
  <c r="J16" i="4"/>
  <c r="J20" i="4" s="1"/>
  <c r="K16" i="4"/>
  <c r="K17" i="4" s="1"/>
  <c r="L16" i="4"/>
  <c r="L17" i="4" s="1"/>
  <c r="M16" i="4"/>
  <c r="M17" i="4" s="1"/>
  <c r="N16" i="4"/>
  <c r="N17" i="4" s="1"/>
  <c r="O16" i="4"/>
  <c r="P16" i="4"/>
  <c r="Q16" i="4"/>
  <c r="D16" i="4"/>
  <c r="F13" i="4"/>
  <c r="G13" i="4"/>
  <c r="H13" i="4"/>
  <c r="I13" i="4"/>
  <c r="J13" i="4"/>
  <c r="K13" i="4"/>
  <c r="K14" i="4" s="1"/>
  <c r="L13" i="4"/>
  <c r="L14" i="4" s="1"/>
  <c r="M13" i="4"/>
  <c r="M14" i="4" s="1"/>
  <c r="N13" i="4"/>
  <c r="O13" i="4"/>
  <c r="P13" i="4"/>
  <c r="Q13" i="4"/>
  <c r="E13" i="4"/>
  <c r="E17" i="4" s="1"/>
  <c r="D13" i="4"/>
  <c r="F20" i="4"/>
  <c r="G20" i="4"/>
  <c r="H20" i="4"/>
  <c r="G14" i="4"/>
  <c r="H14" i="4"/>
  <c r="I14" i="4"/>
  <c r="J14" i="4"/>
  <c r="L12" i="4"/>
  <c r="M12" i="4" s="1"/>
  <c r="N12" i="4" s="1"/>
  <c r="S31" i="4"/>
  <c r="T31" i="4" s="1"/>
  <c r="U31" i="4" s="1"/>
  <c r="V31" i="4" s="1"/>
  <c r="P22" i="4"/>
  <c r="Q22" i="4" s="1"/>
  <c r="Q12" i="4"/>
  <c r="S12" i="4" s="1"/>
  <c r="T12" i="4" s="1"/>
  <c r="U12" i="4" s="1"/>
  <c r="V12" i="4" s="1"/>
  <c r="S11" i="4"/>
  <c r="T11" i="4" s="1"/>
  <c r="U11" i="4" s="1"/>
  <c r="V11" i="4" s="1"/>
  <c r="J17" i="4" l="1"/>
  <c r="N20" i="4"/>
  <c r="M20" i="4"/>
  <c r="L20" i="4"/>
  <c r="F17" i="4"/>
  <c r="K20" i="4"/>
  <c r="N14" i="4"/>
  <c r="F14" i="4"/>
  <c r="O14" i="4"/>
  <c r="E14" i="4"/>
  <c r="D17" i="4"/>
  <c r="P24" i="4"/>
  <c r="O17" i="4"/>
  <c r="O20" i="4"/>
  <c r="P14" i="4"/>
  <c r="P20" i="4"/>
  <c r="Q14" i="4"/>
  <c r="Q20" i="4"/>
  <c r="O24" i="4"/>
  <c r="Q24" i="4"/>
  <c r="Q17" i="4"/>
  <c r="O27" i="4"/>
  <c r="P27" i="4"/>
  <c r="Q27" i="4"/>
  <c r="P30" i="4"/>
  <c r="Q30" i="4"/>
  <c r="P17" i="4"/>
  <c r="O30" i="4"/>
  <c r="Q32" i="4"/>
  <c r="P32" i="4"/>
  <c r="S22" i="4" l="1"/>
  <c r="R32" i="4"/>
  <c r="T22" i="4" l="1"/>
  <c r="S32" i="4"/>
  <c r="U22" i="4" l="1"/>
  <c r="T32" i="4"/>
  <c r="U32" i="4" l="1"/>
  <c r="V22" i="4"/>
  <c r="V32" i="4" s="1"/>
  <c r="F27" i="2"/>
  <c r="G27" i="2"/>
  <c r="H27" i="2"/>
  <c r="I27" i="2"/>
  <c r="J27" i="2"/>
  <c r="K27" i="2"/>
  <c r="L27" i="2"/>
  <c r="B26" i="2"/>
  <c r="B27" i="2" s="1"/>
  <c r="M21" i="2"/>
  <c r="M27" i="2" s="1"/>
  <c r="N21" i="2"/>
  <c r="N27" i="2" s="1"/>
  <c r="C21" i="2"/>
  <c r="C27" i="2" s="1"/>
  <c r="D21" i="2"/>
  <c r="D27" i="2" s="1"/>
  <c r="E21" i="2"/>
  <c r="E27" i="2" s="1"/>
  <c r="F21" i="2"/>
  <c r="G21" i="2"/>
  <c r="H21" i="2"/>
  <c r="I21" i="2"/>
  <c r="J21" i="2"/>
  <c r="K21" i="2"/>
  <c r="L21" i="2"/>
  <c r="B21" i="2"/>
  <c r="C20" i="3"/>
  <c r="D20" i="3"/>
  <c r="E20" i="3"/>
  <c r="F20" i="3"/>
  <c r="G20" i="3"/>
  <c r="B20" i="3"/>
  <c r="C18" i="3"/>
  <c r="D18" i="3"/>
  <c r="E18" i="3"/>
  <c r="F18" i="3"/>
  <c r="G18" i="3"/>
  <c r="B18" i="3"/>
  <c r="C16" i="3"/>
  <c r="D16" i="3"/>
  <c r="E16" i="3"/>
  <c r="F16" i="3"/>
  <c r="G16" i="3"/>
  <c r="B16" i="3"/>
  <c r="C14" i="3"/>
  <c r="D14" i="3"/>
  <c r="E14" i="3"/>
  <c r="F14" i="3"/>
  <c r="G14" i="3"/>
  <c r="B14" i="3"/>
  <c r="C12" i="3"/>
  <c r="D12" i="3"/>
  <c r="E12" i="3"/>
  <c r="F12" i="3"/>
  <c r="G12" i="3"/>
  <c r="B12" i="3"/>
  <c r="H7" i="3"/>
  <c r="I7" i="3"/>
  <c r="J7" i="3"/>
  <c r="K7" i="3"/>
  <c r="L7" i="3"/>
  <c r="M7" i="3"/>
  <c r="N7" i="3"/>
  <c r="O7" i="3"/>
  <c r="H11" i="3"/>
  <c r="I11" i="3"/>
  <c r="I12" i="3" s="1"/>
  <c r="I14" i="3" s="1"/>
  <c r="I16" i="3" s="1"/>
  <c r="I18" i="3" s="1"/>
  <c r="I20" i="3" s="1"/>
  <c r="J11" i="3"/>
  <c r="J12" i="3" s="1"/>
  <c r="J14" i="3" s="1"/>
  <c r="J16" i="3" s="1"/>
  <c r="J18" i="3" s="1"/>
  <c r="J20" i="3" s="1"/>
  <c r="K11" i="3"/>
  <c r="L11" i="3"/>
  <c r="M11" i="3"/>
  <c r="N11" i="3"/>
  <c r="N12" i="3" s="1"/>
  <c r="N14" i="3" s="1"/>
  <c r="N16" i="3" s="1"/>
  <c r="N18" i="3" s="1"/>
  <c r="N20" i="3" s="1"/>
  <c r="O11" i="3"/>
  <c r="C11" i="3"/>
  <c r="D11" i="3"/>
  <c r="E11" i="3"/>
  <c r="F11" i="3"/>
  <c r="G11" i="3"/>
  <c r="B11" i="3"/>
  <c r="C7" i="3"/>
  <c r="D7" i="3"/>
  <c r="E7" i="3"/>
  <c r="F7" i="3"/>
  <c r="G7" i="3"/>
  <c r="B7" i="3"/>
  <c r="O12" i="3" l="1"/>
  <c r="O14" i="3" s="1"/>
  <c r="O16" i="3" s="1"/>
  <c r="O18" i="3" s="1"/>
  <c r="O20" i="3" s="1"/>
  <c r="M12" i="3"/>
  <c r="M14" i="3" s="1"/>
  <c r="M16" i="3" s="1"/>
  <c r="M18" i="3" s="1"/>
  <c r="M20" i="3" s="1"/>
  <c r="L12" i="3"/>
  <c r="L14" i="3" s="1"/>
  <c r="L16" i="3" s="1"/>
  <c r="L18" i="3" s="1"/>
  <c r="L20" i="3" s="1"/>
  <c r="K12" i="3"/>
  <c r="K14" i="3" s="1"/>
  <c r="K16" i="3" s="1"/>
  <c r="K18" i="3" s="1"/>
  <c r="K20" i="3" s="1"/>
  <c r="H12" i="3"/>
  <c r="H14" i="3" s="1"/>
  <c r="H16" i="3" s="1"/>
  <c r="H18" i="3" s="1"/>
  <c r="H20" i="3" s="1"/>
</calcChain>
</file>

<file path=xl/sharedStrings.xml><?xml version="1.0" encoding="utf-8"?>
<sst xmlns="http://schemas.openxmlformats.org/spreadsheetml/2006/main" count="158" uniqueCount="136">
  <si>
    <t>Domino's Pizza Inc Income Statement 2009-2021 | DPZ</t>
  </si>
  <si>
    <t>$ in millions, except per share data</t>
  </si>
  <si>
    <t>Revenue</t>
  </si>
  <si>
    <t>Gross Profit</t>
  </si>
  <si>
    <t xml:space="preserve">    R&amp;D Expenses</t>
  </si>
  <si>
    <t>COGS</t>
  </si>
  <si>
    <t xml:space="preserve">    SG&amp;A Expenses</t>
  </si>
  <si>
    <t xml:space="preserve">    Other Operating Income Or Expenses</t>
  </si>
  <si>
    <t>Operating Expenses</t>
  </si>
  <si>
    <t>Operating Income</t>
  </si>
  <si>
    <t>Total Non-Operating Income/Expense</t>
  </si>
  <si>
    <t>Pre-Tax Income</t>
  </si>
  <si>
    <t>Income Taxes</t>
  </si>
  <si>
    <t>Income After Taxes</t>
  </si>
  <si>
    <t>Other Income</t>
  </si>
  <si>
    <t>Income From Continuous Operations</t>
  </si>
  <si>
    <t>Income From Discontinued Operations</t>
  </si>
  <si>
    <t>Net Income</t>
  </si>
  <si>
    <t>EBITDA</t>
  </si>
  <si>
    <t>EBIT</t>
  </si>
  <si>
    <t>Basic Shares Outstanding</t>
  </si>
  <si>
    <t>Shares Outstanding</t>
  </si>
  <si>
    <t>Basic EPS</t>
  </si>
  <si>
    <t>EPS - Earnings Per Share</t>
  </si>
  <si>
    <t xml:space="preserve">    Cash</t>
  </si>
  <si>
    <t xml:space="preserve">    Receivables</t>
  </si>
  <si>
    <t xml:space="preserve">    Inventory</t>
  </si>
  <si>
    <t xml:space="preserve">    Pre-Paid Expenses</t>
  </si>
  <si>
    <t xml:space="preserve">    Other Current Assets</t>
  </si>
  <si>
    <t xml:space="preserve">    PPE</t>
  </si>
  <si>
    <t xml:space="preserve">    Long-Term Investments</t>
  </si>
  <si>
    <t xml:space="preserve">    Goodwill And Intangible Assets</t>
  </si>
  <si>
    <t xml:space="preserve">    Other Long-Term Assets</t>
  </si>
  <si>
    <t xml:space="preserve">  Total Current Assets</t>
  </si>
  <si>
    <t xml:space="preserve">  Total Long-Term Assets</t>
  </si>
  <si>
    <t>Total Assets</t>
  </si>
  <si>
    <t xml:space="preserve">  Total Current Liabilities</t>
  </si>
  <si>
    <t xml:space="preserve">    Long Term Debt</t>
  </si>
  <si>
    <t xml:space="preserve">    Other Non-Current Liabilities</t>
  </si>
  <si>
    <t xml:space="preserve">  Total Long-Term Liabilities</t>
  </si>
  <si>
    <t>Total Liabilities</t>
  </si>
  <si>
    <t xml:space="preserve">    Common Stock Net</t>
  </si>
  <si>
    <t xml:space="preserve">    Retained Earnings</t>
  </si>
  <si>
    <t xml:space="preserve">    Comprehensive Income</t>
  </si>
  <si>
    <t xml:space="preserve">    Other Share Holders Equity</t>
  </si>
  <si>
    <t>Shareholder Equity</t>
  </si>
  <si>
    <t>Total Liabilities and Shareholder Equity</t>
  </si>
  <si>
    <t>Domino's Pizza Inc Balance Sheet 2009-2021 | DPZ</t>
  </si>
  <si>
    <t>Domino's Pizza Inc Cash Flow Statement 2009-2021 | DPZ</t>
  </si>
  <si>
    <t xml:space="preserve">    Net Income</t>
  </si>
  <si>
    <t xml:space="preserve">    Total DA</t>
  </si>
  <si>
    <t xml:space="preserve">    Other Non-cash Items</t>
  </si>
  <si>
    <t xml:space="preserve">    Total Non-Cash Items</t>
  </si>
  <si>
    <t xml:space="preserve">    Change in Accounts Receivables</t>
  </si>
  <si>
    <t xml:space="preserve">    Change in Inventories</t>
  </si>
  <si>
    <t xml:space="preserve">    Change in Accounts Payable</t>
  </si>
  <si>
    <t xml:space="preserve">    Change in Assets/Liabilities</t>
  </si>
  <si>
    <t xml:space="preserve">    Total Change in Assets/Liabilities</t>
  </si>
  <si>
    <t>Cash Flow From Operating Activities</t>
  </si>
  <si>
    <t xml:space="preserve">    Net Change in PPE</t>
  </si>
  <si>
    <t xml:space="preserve">    Net Change in Intangible Assets</t>
  </si>
  <si>
    <t xml:space="preserve">    Net Acquisitions</t>
  </si>
  <si>
    <t xml:space="preserve">    Net Change in Short-Term Investments</t>
  </si>
  <si>
    <t xml:space="preserve">    Net Change in Long-Term Investments</t>
  </si>
  <si>
    <t xml:space="preserve">    Net Change in Investments - Total</t>
  </si>
  <si>
    <t xml:space="preserve">    Investing Activities - Other</t>
  </si>
  <si>
    <t>Cash Flow From Investing Activities</t>
  </si>
  <si>
    <t xml:space="preserve">    Net Long-Term Debt</t>
  </si>
  <si>
    <t xml:space="preserve">    Net Current Debt</t>
  </si>
  <si>
    <t xml:space="preserve">    Debt Issuance/Retirement Net</t>
  </si>
  <si>
    <t xml:space="preserve">    Net Total Equity Issued/Repurchased</t>
  </si>
  <si>
    <t xml:space="preserve">    Total Common And Preferred Stock Dividends Paid</t>
  </si>
  <si>
    <t xml:space="preserve">    Financial Activities - Other</t>
  </si>
  <si>
    <t>Cash Flow From Financial Activities</t>
  </si>
  <si>
    <t>Net Cash Flow</t>
  </si>
  <si>
    <t>Stock-Based Compensation</t>
  </si>
  <si>
    <t>Common Stock Dividends Paid</t>
  </si>
  <si>
    <t xml:space="preserve">    Net Common Equity Issued/Repurchased</t>
  </si>
  <si>
    <t>Ticker</t>
  </si>
  <si>
    <t>Implied Share Price</t>
  </si>
  <si>
    <t>Date</t>
  </si>
  <si>
    <t>Today's Share Price</t>
  </si>
  <si>
    <t>Upside (Downside)</t>
  </si>
  <si>
    <t>Assumptions</t>
  </si>
  <si>
    <t>Valuation Assumptions</t>
  </si>
  <si>
    <t>WACC</t>
  </si>
  <si>
    <t>TGR</t>
  </si>
  <si>
    <t>Income Statement</t>
  </si>
  <si>
    <t>% growth</t>
  </si>
  <si>
    <t>% of sales</t>
  </si>
  <si>
    <t>Taxes</t>
  </si>
  <si>
    <t>% of EBIT</t>
  </si>
  <si>
    <t>Cash Flow Items</t>
  </si>
  <si>
    <t>D&amp;A</t>
  </si>
  <si>
    <t>CapEx</t>
  </si>
  <si>
    <t>Change in NWC</t>
  </si>
  <si>
    <t>DCF</t>
  </si>
  <si>
    <t>% margin</t>
  </si>
  <si>
    <t>EBIAT</t>
  </si>
  <si>
    <t>Unlevered FCF</t>
  </si>
  <si>
    <t>Present Value of FCF</t>
  </si>
  <si>
    <t>Terminal Value</t>
  </si>
  <si>
    <t>Present Value of Terminal Value</t>
  </si>
  <si>
    <t>Enterprise Value</t>
  </si>
  <si>
    <t>+ Cash</t>
  </si>
  <si>
    <t>- Debt</t>
  </si>
  <si>
    <t>Equity Value</t>
  </si>
  <si>
    <t>Shares</t>
  </si>
  <si>
    <t>WACC =  (% Equity x Cost of Equity) + (% Debt x Cost of Debt x (1 -Tax rate))</t>
  </si>
  <si>
    <t>Cost of Equity = Risk Free Rate + (Beta x (Expected Market Return - Risk Free Rate))</t>
  </si>
  <si>
    <t>Debt</t>
  </si>
  <si>
    <t>% Debt</t>
  </si>
  <si>
    <t>Cost of Debt</t>
  </si>
  <si>
    <t>Tax Rate</t>
  </si>
  <si>
    <t>% Equity</t>
  </si>
  <si>
    <t>Cost of Equity</t>
  </si>
  <si>
    <t>Risk Free Rate</t>
  </si>
  <si>
    <t>Beta</t>
  </si>
  <si>
    <t>Market Risk Premium</t>
  </si>
  <si>
    <t>Debt + Equity</t>
  </si>
  <si>
    <t>Domino's DCF</t>
  </si>
  <si>
    <t>DPZ</t>
  </si>
  <si>
    <t>Share Price</t>
  </si>
  <si>
    <t>Market Share Test</t>
  </si>
  <si>
    <t>Domino's</t>
  </si>
  <si>
    <t>Pizza Hut</t>
  </si>
  <si>
    <t>Little Caesars</t>
  </si>
  <si>
    <t>Papa John's</t>
  </si>
  <si>
    <t>Other Chains</t>
  </si>
  <si>
    <t>Independents</t>
  </si>
  <si>
    <t>Total</t>
  </si>
  <si>
    <t>Average absolute change</t>
  </si>
  <si>
    <t>Five-year 
absolute change (%)</t>
  </si>
  <si>
    <t>2014 
(%)</t>
  </si>
  <si>
    <t>2019 
(%)</t>
  </si>
  <si>
    <t>Pizza Restaurants 
(US by 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</si>
</sst>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  <numFmt numFmtId="166" formatCode="0.0%;\(0.0%\)"/>
    <numFmt numFmtId="167" formatCode="0.0%"/>
    <numFmt numFmtId="168" formatCode="&quot;$&quot;#,##0"/>
    <numFmt numFmtId="172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5" xfId="0" applyBorder="1"/>
    <xf numFmtId="14" fontId="0" fillId="0" borderId="0" xfId="0" applyNumberFormat="1"/>
    <xf numFmtId="14" fontId="0" fillId="0" borderId="5" xfId="0" applyNumberFormat="1" applyBorder="1"/>
    <xf numFmtId="0" fontId="0" fillId="0" borderId="7" xfId="0" applyBorder="1"/>
    <xf numFmtId="0" fontId="0" fillId="0" borderId="8" xfId="0" applyBorder="1"/>
    <xf numFmtId="44" fontId="0" fillId="0" borderId="0" xfId="1" applyFont="1" applyBorder="1"/>
    <xf numFmtId="44" fontId="0" fillId="0" borderId="5" xfId="1" applyFont="1" applyBorder="1"/>
    <xf numFmtId="44" fontId="2" fillId="0" borderId="0" xfId="1" applyFont="1" applyBorder="1"/>
    <xf numFmtId="44" fontId="2" fillId="0" borderId="5" xfId="1" applyFont="1" applyBorder="1"/>
    <xf numFmtId="44" fontId="2" fillId="0" borderId="7" xfId="0" applyNumberFormat="1" applyFont="1" applyBorder="1"/>
    <xf numFmtId="44" fontId="2" fillId="0" borderId="7" xfId="1" applyFont="1" applyBorder="1"/>
    <xf numFmtId="44" fontId="2" fillId="0" borderId="8" xfId="0" applyNumberFormat="1" applyFont="1" applyBorder="1"/>
    <xf numFmtId="44" fontId="2" fillId="0" borderId="8" xfId="1" applyFont="1" applyBorder="1"/>
    <xf numFmtId="0" fontId="0" fillId="0" borderId="10" xfId="0" applyBorder="1"/>
    <xf numFmtId="0" fontId="2" fillId="0" borderId="10" xfId="0" applyFont="1" applyBorder="1"/>
    <xf numFmtId="0" fontId="2" fillId="0" borderId="9" xfId="0" applyFont="1" applyBorder="1"/>
    <xf numFmtId="0" fontId="0" fillId="0" borderId="11" xfId="0" applyBorder="1"/>
    <xf numFmtId="0" fontId="2" fillId="0" borderId="7" xfId="0" applyFont="1" applyBorder="1"/>
    <xf numFmtId="44" fontId="0" fillId="0" borderId="0" xfId="1" applyFont="1"/>
    <xf numFmtId="44" fontId="2" fillId="0" borderId="0" xfId="1" applyFont="1"/>
    <xf numFmtId="14" fontId="0" fillId="0" borderId="3" xfId="0" applyNumberFormat="1" applyBorder="1"/>
    <xf numFmtId="0" fontId="6" fillId="0" borderId="7" xfId="0" applyFont="1" applyBorder="1"/>
    <xf numFmtId="0" fontId="0" fillId="2" borderId="12" xfId="0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5" fontId="0" fillId="0" borderId="0" xfId="0" applyNumberFormat="1"/>
    <xf numFmtId="14" fontId="0" fillId="2" borderId="12" xfId="0" applyNumberFormat="1" applyFill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5" fillId="3" borderId="0" xfId="0" applyFont="1" applyFill="1"/>
    <xf numFmtId="0" fontId="0" fillId="3" borderId="0" xfId="0" applyFill="1"/>
    <xf numFmtId="0" fontId="7" fillId="4" borderId="0" xfId="0" applyFont="1" applyFill="1"/>
    <xf numFmtId="0" fontId="8" fillId="4" borderId="0" xfId="0" applyFont="1" applyFill="1"/>
    <xf numFmtId="167" fontId="8" fillId="4" borderId="0" xfId="2" applyNumberFormat="1" applyFont="1" applyFill="1"/>
    <xf numFmtId="167" fontId="8" fillId="4" borderId="0" xfId="2" applyNumberFormat="1" applyFont="1" applyFill="1" applyBorder="1"/>
    <xf numFmtId="0" fontId="9" fillId="4" borderId="0" xfId="0" applyFont="1" applyFill="1"/>
    <xf numFmtId="3" fontId="7" fillId="4" borderId="0" xfId="0" applyNumberFormat="1" applyFont="1" applyFill="1"/>
    <xf numFmtId="166" fontId="3" fillId="0" borderId="0" xfId="2" applyNumberFormat="1" applyFont="1"/>
    <xf numFmtId="0" fontId="3" fillId="0" borderId="0" xfId="0" applyFont="1"/>
    <xf numFmtId="167" fontId="0" fillId="0" borderId="0" xfId="0" applyNumberFormat="1"/>
    <xf numFmtId="0" fontId="2" fillId="0" borderId="14" xfId="0" applyFont="1" applyBorder="1"/>
    <xf numFmtId="0" fontId="2" fillId="0" borderId="15" xfId="0" applyFont="1" applyBorder="1"/>
    <xf numFmtId="3" fontId="0" fillId="0" borderId="0" xfId="0" applyNumberFormat="1"/>
    <xf numFmtId="167" fontId="3" fillId="0" borderId="0" xfId="2" applyNumberFormat="1" applyFont="1" applyFill="1" applyBorder="1"/>
    <xf numFmtId="166" fontId="3" fillId="0" borderId="0" xfId="2" applyNumberFormat="1" applyFont="1" applyBorder="1"/>
    <xf numFmtId="37" fontId="9" fillId="0" borderId="0" xfId="0" applyNumberFormat="1" applyFont="1"/>
    <xf numFmtId="0" fontId="0" fillId="0" borderId="0" xfId="0" quotePrefix="1"/>
    <xf numFmtId="168" fontId="0" fillId="0" borderId="13" xfId="0" applyNumberFormat="1" applyBorder="1" applyAlignment="1">
      <alignment horizontal="right"/>
    </xf>
    <xf numFmtId="0" fontId="0" fillId="0" borderId="7" xfId="0" quotePrefix="1" applyBorder="1"/>
    <xf numFmtId="168" fontId="0" fillId="0" borderId="17" xfId="0" applyNumberFormat="1" applyBorder="1" applyAlignment="1">
      <alignment horizontal="right"/>
    </xf>
    <xf numFmtId="3" fontId="0" fillId="0" borderId="17" xfId="0" applyNumberFormat="1" applyBorder="1" applyAlignment="1">
      <alignment horizontal="right"/>
    </xf>
    <xf numFmtId="167" fontId="0" fillId="0" borderId="0" xfId="0" applyNumberFormat="1" applyAlignment="1">
      <alignment horizontal="right"/>
    </xf>
    <xf numFmtId="167" fontId="0" fillId="2" borderId="13" xfId="0" applyNumberFormat="1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0" fontId="2" fillId="5" borderId="14" xfId="0" applyFont="1" applyFill="1" applyBorder="1"/>
    <xf numFmtId="0" fontId="0" fillId="5" borderId="15" xfId="0" applyFill="1" applyBorder="1"/>
    <xf numFmtId="10" fontId="2" fillId="5" borderId="16" xfId="0" applyNumberFormat="1" applyFont="1" applyFill="1" applyBorder="1"/>
    <xf numFmtId="167" fontId="0" fillId="2" borderId="0" xfId="0" applyNumberFormat="1" applyFill="1" applyAlignment="1">
      <alignment horizontal="center"/>
    </xf>
    <xf numFmtId="44" fontId="7" fillId="4" borderId="0" xfId="0" applyNumberFormat="1" applyFont="1" applyFill="1"/>
    <xf numFmtId="0" fontId="0" fillId="0" borderId="6" xfId="0" applyBorder="1"/>
    <xf numFmtId="0" fontId="0" fillId="0" borderId="4" xfId="0" applyBorder="1"/>
    <xf numFmtId="0" fontId="0" fillId="3" borderId="4" xfId="0" applyFill="1" applyBorder="1"/>
    <xf numFmtId="0" fontId="5" fillId="3" borderId="4" xfId="0" applyFont="1" applyFill="1" applyBorder="1"/>
    <xf numFmtId="167" fontId="8" fillId="4" borderId="4" xfId="2" applyNumberFormat="1" applyFont="1" applyFill="1" applyBorder="1"/>
    <xf numFmtId="0" fontId="7" fillId="4" borderId="4" xfId="0" applyFont="1" applyFill="1" applyBorder="1"/>
    <xf numFmtId="3" fontId="7" fillId="4" borderId="4" xfId="0" applyNumberFormat="1" applyFont="1" applyFill="1" applyBorder="1"/>
    <xf numFmtId="167" fontId="3" fillId="0" borderId="4" xfId="2" applyNumberFormat="1" applyFont="1" applyFill="1" applyBorder="1"/>
    <xf numFmtId="166" fontId="3" fillId="0" borderId="4" xfId="2" applyNumberFormat="1" applyFont="1" applyBorder="1"/>
    <xf numFmtId="14" fontId="0" fillId="0" borderId="4" xfId="0" applyNumberFormat="1" applyBorder="1"/>
    <xf numFmtId="0" fontId="2" fillId="0" borderId="4" xfId="0" applyFont="1" applyBorder="1"/>
    <xf numFmtId="44" fontId="0" fillId="0" borderId="0" xfId="0" applyNumberFormat="1"/>
    <xf numFmtId="44" fontId="2" fillId="0" borderId="15" xfId="0" applyNumberFormat="1" applyFont="1" applyBorder="1"/>
    <xf numFmtId="166" fontId="0" fillId="0" borderId="0" xfId="0" applyNumberFormat="1"/>
    <xf numFmtId="167" fontId="8" fillId="0" borderId="4" xfId="2" applyNumberFormat="1" applyFont="1" applyFill="1" applyBorder="1"/>
    <xf numFmtId="0" fontId="7" fillId="0" borderId="4" xfId="0" applyFont="1" applyBorder="1"/>
    <xf numFmtId="0" fontId="7" fillId="0" borderId="0" xfId="0" applyFont="1"/>
    <xf numFmtId="167" fontId="7" fillId="0" borderId="0" xfId="0" applyNumberFormat="1" applyFont="1"/>
    <xf numFmtId="167" fontId="8" fillId="0" borderId="0" xfId="2" applyNumberFormat="1" applyFont="1" applyFill="1" applyBorder="1"/>
    <xf numFmtId="44" fontId="7" fillId="4" borderId="4" xfId="1" applyFont="1" applyFill="1" applyBorder="1"/>
    <xf numFmtId="44" fontId="7" fillId="4" borderId="0" xfId="1" applyFont="1" applyFill="1" applyBorder="1"/>
    <xf numFmtId="44" fontId="7" fillId="0" borderId="4" xfId="1" applyFont="1" applyBorder="1"/>
    <xf numFmtId="44" fontId="7" fillId="0" borderId="0" xfId="1" applyFont="1" applyBorder="1"/>
    <xf numFmtId="44" fontId="2" fillId="0" borderId="14" xfId="0" applyNumberFormat="1" applyFont="1" applyBorder="1"/>
    <xf numFmtId="167" fontId="0" fillId="0" borderId="0" xfId="2" applyNumberFormat="1" applyFont="1"/>
    <xf numFmtId="44" fontId="2" fillId="0" borderId="6" xfId="1" applyFont="1" applyBorder="1"/>
    <xf numFmtId="44" fontId="9" fillId="0" borderId="0" xfId="1" applyFont="1"/>
    <xf numFmtId="44" fontId="9" fillId="0" borderId="7" xfId="1" applyFont="1" applyBorder="1"/>
    <xf numFmtId="44" fontId="2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2" fontId="0" fillId="0" borderId="0" xfId="0" applyNumberFormat="1"/>
    <xf numFmtId="0" fontId="2" fillId="0" borderId="0" xfId="0" applyFont="1" applyBorder="1"/>
    <xf numFmtId="0" fontId="2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C1DD-7CED-4ECF-8060-574DB1FBC123}">
  <dimension ref="A1:O26"/>
  <sheetViews>
    <sheetView workbookViewId="0">
      <selection activeCell="O25" sqref="O25"/>
    </sheetView>
  </sheetViews>
  <sheetFormatPr defaultRowHeight="15" x14ac:dyDescent="0.25"/>
  <cols>
    <col min="1" max="1" width="36.28515625" customWidth="1"/>
    <col min="2" max="15" width="10.7109375" bestFit="1" customWidth="1"/>
  </cols>
  <sheetData>
    <row r="1" spans="1:15" ht="33.75" customHeight="1" x14ac:dyDescent="0.2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90"/>
    </row>
    <row r="2" spans="1:15" x14ac:dyDescent="0.25">
      <c r="A2" s="91" t="s">
        <v>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</row>
    <row r="3" spans="1:15" x14ac:dyDescent="0.25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6"/>
    </row>
    <row r="4" spans="1:15" x14ac:dyDescent="0.25">
      <c r="A4" s="18"/>
      <c r="B4" s="3">
        <v>40178</v>
      </c>
      <c r="C4" s="3">
        <v>40543</v>
      </c>
      <c r="D4" s="3">
        <v>40908</v>
      </c>
      <c r="E4" s="3">
        <v>41274</v>
      </c>
      <c r="F4" s="3">
        <v>41639</v>
      </c>
      <c r="G4" s="3">
        <v>42004</v>
      </c>
      <c r="H4" s="3">
        <v>42369</v>
      </c>
      <c r="I4" s="3">
        <v>42735</v>
      </c>
      <c r="J4" s="3">
        <v>43100</v>
      </c>
      <c r="K4" s="3">
        <v>43465</v>
      </c>
      <c r="L4" s="3">
        <v>43830</v>
      </c>
      <c r="M4" s="3">
        <v>44196</v>
      </c>
      <c r="N4" s="3">
        <v>44561</v>
      </c>
      <c r="O4" s="4">
        <v>44926</v>
      </c>
    </row>
    <row r="5" spans="1:15" x14ac:dyDescent="0.25">
      <c r="A5" s="16" t="s">
        <v>2</v>
      </c>
      <c r="B5" s="9">
        <v>1404.057</v>
      </c>
      <c r="C5" s="9">
        <v>1570.894</v>
      </c>
      <c r="D5" s="9">
        <v>1652.193</v>
      </c>
      <c r="E5" s="9">
        <v>1678.4390000000001</v>
      </c>
      <c r="F5" s="9">
        <v>1802.223</v>
      </c>
      <c r="G5" s="9">
        <v>1993.8330000000001</v>
      </c>
      <c r="H5" s="9">
        <v>2216.5279999999998</v>
      </c>
      <c r="I5" s="9">
        <v>2472.6280000000002</v>
      </c>
      <c r="J5" s="9">
        <v>2787.9789999999998</v>
      </c>
      <c r="K5" s="9">
        <v>3432.8670000000002</v>
      </c>
      <c r="L5" s="9">
        <v>3618.7739999999999</v>
      </c>
      <c r="M5" s="9">
        <v>4117.4110000000001</v>
      </c>
      <c r="N5" s="9">
        <v>4357.3729999999996</v>
      </c>
      <c r="O5" s="10">
        <v>4488.1400000000003</v>
      </c>
    </row>
    <row r="6" spans="1:15" x14ac:dyDescent="0.25">
      <c r="A6" s="15" t="s">
        <v>5</v>
      </c>
      <c r="B6" s="7">
        <v>1017.081</v>
      </c>
      <c r="C6" s="7">
        <v>1132.3050000000001</v>
      </c>
      <c r="D6" s="7">
        <v>1181.6769999999999</v>
      </c>
      <c r="E6" s="7">
        <v>1177.1010000000001</v>
      </c>
      <c r="F6" s="7">
        <v>1253.249</v>
      </c>
      <c r="G6" s="7">
        <v>1399.067</v>
      </c>
      <c r="H6" s="7">
        <v>1533.3969999999999</v>
      </c>
      <c r="I6" s="7">
        <v>1704.9369999999999</v>
      </c>
      <c r="J6" s="7">
        <v>1921.9880000000001</v>
      </c>
      <c r="K6" s="7">
        <v>2130.1880000000001</v>
      </c>
      <c r="L6" s="7">
        <v>2216.2750000000001</v>
      </c>
      <c r="M6" s="7">
        <v>2522.9180000000001</v>
      </c>
      <c r="N6" s="7">
        <v>2669.1309999999999</v>
      </c>
      <c r="O6" s="8">
        <v>2845.2</v>
      </c>
    </row>
    <row r="7" spans="1:15" x14ac:dyDescent="0.25">
      <c r="A7" s="17" t="s">
        <v>3</v>
      </c>
      <c r="B7" s="11">
        <f>B5-B6</f>
        <v>386.976</v>
      </c>
      <c r="C7" s="11">
        <f t="shared" ref="C7:G7" si="0">C5-C6</f>
        <v>438.58899999999994</v>
      </c>
      <c r="D7" s="11">
        <f t="shared" si="0"/>
        <v>470.51600000000008</v>
      </c>
      <c r="E7" s="11">
        <f t="shared" si="0"/>
        <v>501.33799999999997</v>
      </c>
      <c r="F7" s="11">
        <f t="shared" si="0"/>
        <v>548.97399999999993</v>
      </c>
      <c r="G7" s="11">
        <f t="shared" si="0"/>
        <v>594.76600000000008</v>
      </c>
      <c r="H7" s="11">
        <f t="shared" ref="H7" si="1">H5-H6</f>
        <v>683.13099999999986</v>
      </c>
      <c r="I7" s="11">
        <f t="shared" ref="I7" si="2">I5-I6</f>
        <v>767.69100000000026</v>
      </c>
      <c r="J7" s="11">
        <f t="shared" ref="J7" si="3">J5-J6</f>
        <v>865.99099999999976</v>
      </c>
      <c r="K7" s="11">
        <f t="shared" ref="K7" si="4">K5-K6</f>
        <v>1302.6790000000001</v>
      </c>
      <c r="L7" s="11">
        <f t="shared" ref="L7" si="5">L5-L6</f>
        <v>1402.4989999999998</v>
      </c>
      <c r="M7" s="11">
        <f t="shared" ref="M7" si="6">M5-M6</f>
        <v>1594.4929999999999</v>
      </c>
      <c r="N7" s="11">
        <f t="shared" ref="N7" si="7">N5-N6</f>
        <v>1688.2419999999997</v>
      </c>
      <c r="O7" s="13">
        <f t="shared" ref="O7" si="8">O5-O6</f>
        <v>1642.9400000000005</v>
      </c>
    </row>
    <row r="8" spans="1:15" x14ac:dyDescent="0.25">
      <c r="A8" s="15" t="s">
        <v>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</row>
    <row r="9" spans="1:15" x14ac:dyDescent="0.25">
      <c r="A9" s="15" t="s">
        <v>6</v>
      </c>
      <c r="B9" s="7">
        <v>197.46700000000001</v>
      </c>
      <c r="C9" s="7">
        <v>210.887</v>
      </c>
      <c r="D9" s="7">
        <v>211.37100000000001</v>
      </c>
      <c r="E9" s="7">
        <v>219.00700000000001</v>
      </c>
      <c r="F9" s="7">
        <v>235.16300000000001</v>
      </c>
      <c r="G9" s="7">
        <v>249.405</v>
      </c>
      <c r="H9" s="7">
        <v>277.69200000000001</v>
      </c>
      <c r="I9" s="7">
        <v>313.649</v>
      </c>
      <c r="J9" s="7">
        <v>344.75900000000001</v>
      </c>
      <c r="K9" s="7">
        <v>730.99</v>
      </c>
      <c r="L9" s="7">
        <v>773.09199999999998</v>
      </c>
      <c r="M9" s="7">
        <v>868.851</v>
      </c>
      <c r="N9" s="7">
        <v>907.83399999999995</v>
      </c>
      <c r="O9" s="8">
        <v>901.14499999999998</v>
      </c>
    </row>
    <row r="10" spans="1:15" x14ac:dyDescent="0.25">
      <c r="A10" s="15" t="s">
        <v>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</row>
    <row r="11" spans="1:15" x14ac:dyDescent="0.25">
      <c r="A11" s="15" t="s">
        <v>8</v>
      </c>
      <c r="B11" s="7">
        <f>B8+B9+B10</f>
        <v>197.46700000000001</v>
      </c>
      <c r="C11" s="7">
        <f t="shared" ref="C11:H11" si="9">C8+C9+C10</f>
        <v>210.887</v>
      </c>
      <c r="D11" s="7">
        <f t="shared" si="9"/>
        <v>211.37100000000001</v>
      </c>
      <c r="E11" s="7">
        <f t="shared" si="9"/>
        <v>219.00700000000001</v>
      </c>
      <c r="F11" s="7">
        <f t="shared" si="9"/>
        <v>235.16300000000001</v>
      </c>
      <c r="G11" s="7">
        <f t="shared" si="9"/>
        <v>249.405</v>
      </c>
      <c r="H11" s="7">
        <f t="shared" si="9"/>
        <v>277.69200000000001</v>
      </c>
      <c r="I11" s="7">
        <f t="shared" ref="I11" si="10">I8+I9+I10</f>
        <v>313.649</v>
      </c>
      <c r="J11" s="7">
        <f t="shared" ref="J11" si="11">J8+J9+J10</f>
        <v>344.75900000000001</v>
      </c>
      <c r="K11" s="7">
        <f t="shared" ref="K11" si="12">K8+K9+K10</f>
        <v>730.99</v>
      </c>
      <c r="L11" s="7">
        <f t="shared" ref="L11" si="13">L8+L9+L10</f>
        <v>773.09199999999998</v>
      </c>
      <c r="M11" s="7">
        <f t="shared" ref="M11:N11" si="14">M8+M9+M10</f>
        <v>868.851</v>
      </c>
      <c r="N11" s="7">
        <f t="shared" si="14"/>
        <v>907.83399999999995</v>
      </c>
      <c r="O11" s="8">
        <f t="shared" ref="O11" si="15">O8+O9+O10</f>
        <v>901.14499999999998</v>
      </c>
    </row>
    <row r="12" spans="1:15" x14ac:dyDescent="0.25">
      <c r="A12" s="16" t="s">
        <v>9</v>
      </c>
      <c r="B12" s="9">
        <f>B7-B11</f>
        <v>189.50899999999999</v>
      </c>
      <c r="C12" s="9">
        <f t="shared" ref="C12:O12" si="16">C7-C11</f>
        <v>227.70199999999994</v>
      </c>
      <c r="D12" s="9">
        <f t="shared" si="16"/>
        <v>259.1450000000001</v>
      </c>
      <c r="E12" s="9">
        <f t="shared" si="16"/>
        <v>282.33099999999996</v>
      </c>
      <c r="F12" s="9">
        <f t="shared" si="16"/>
        <v>313.81099999999992</v>
      </c>
      <c r="G12" s="9">
        <f t="shared" si="16"/>
        <v>345.3610000000001</v>
      </c>
      <c r="H12" s="9">
        <f t="shared" si="16"/>
        <v>405.43899999999985</v>
      </c>
      <c r="I12" s="9">
        <f t="shared" si="16"/>
        <v>454.04200000000026</v>
      </c>
      <c r="J12" s="9">
        <f t="shared" si="16"/>
        <v>521.23199999999974</v>
      </c>
      <c r="K12" s="9">
        <f t="shared" si="16"/>
        <v>571.68900000000008</v>
      </c>
      <c r="L12" s="9">
        <f t="shared" si="16"/>
        <v>629.40699999999981</v>
      </c>
      <c r="M12" s="9">
        <f t="shared" si="16"/>
        <v>725.64199999999994</v>
      </c>
      <c r="N12" s="9">
        <f t="shared" si="16"/>
        <v>780.40799999999979</v>
      </c>
      <c r="O12" s="10">
        <f t="shared" si="16"/>
        <v>741.79500000000053</v>
      </c>
    </row>
    <row r="13" spans="1:15" x14ac:dyDescent="0.25">
      <c r="A13" s="15" t="s">
        <v>10</v>
      </c>
      <c r="B13" s="7">
        <v>-53.987000000000002</v>
      </c>
      <c r="C13" s="7">
        <v>-88.757000000000005</v>
      </c>
      <c r="D13" s="7">
        <v>-91.338999999999999</v>
      </c>
      <c r="E13" s="7">
        <v>-101.14400000000001</v>
      </c>
      <c r="F13" s="7">
        <v>-88.712000000000003</v>
      </c>
      <c r="G13" s="7">
        <v>-86.738</v>
      </c>
      <c r="H13" s="7">
        <v>-99.224000000000004</v>
      </c>
      <c r="I13" s="7">
        <v>-109.384</v>
      </c>
      <c r="J13" s="7">
        <v>-121.07899999999999</v>
      </c>
      <c r="K13" s="7">
        <v>-143.011</v>
      </c>
      <c r="L13" s="7">
        <v>-146.77000000000001</v>
      </c>
      <c r="M13" s="7">
        <v>-170.512</v>
      </c>
      <c r="N13" s="7">
        <v>-154.703</v>
      </c>
      <c r="O13" s="8">
        <v>-162.57599999999999</v>
      </c>
    </row>
    <row r="14" spans="1:15" x14ac:dyDescent="0.25">
      <c r="A14" s="16" t="s">
        <v>11</v>
      </c>
      <c r="B14" s="9">
        <f>B12+B13</f>
        <v>135.52199999999999</v>
      </c>
      <c r="C14" s="9">
        <f t="shared" ref="C14:O14" si="17">C12+C13</f>
        <v>138.94499999999994</v>
      </c>
      <c r="D14" s="9">
        <f t="shared" si="17"/>
        <v>167.8060000000001</v>
      </c>
      <c r="E14" s="9">
        <f t="shared" si="17"/>
        <v>181.18699999999995</v>
      </c>
      <c r="F14" s="9">
        <f t="shared" si="17"/>
        <v>225.09899999999993</v>
      </c>
      <c r="G14" s="9">
        <f t="shared" si="17"/>
        <v>258.6230000000001</v>
      </c>
      <c r="H14" s="9">
        <f t="shared" si="17"/>
        <v>306.21499999999986</v>
      </c>
      <c r="I14" s="9">
        <f t="shared" si="17"/>
        <v>344.65800000000024</v>
      </c>
      <c r="J14" s="9">
        <f t="shared" si="17"/>
        <v>400.15299999999974</v>
      </c>
      <c r="K14" s="9">
        <f t="shared" si="17"/>
        <v>428.67800000000011</v>
      </c>
      <c r="L14" s="9">
        <f t="shared" si="17"/>
        <v>482.63699999999983</v>
      </c>
      <c r="M14" s="9">
        <f t="shared" si="17"/>
        <v>555.12999999999988</v>
      </c>
      <c r="N14" s="9">
        <f t="shared" si="17"/>
        <v>625.70499999999981</v>
      </c>
      <c r="O14" s="10">
        <f t="shared" si="17"/>
        <v>579.21900000000051</v>
      </c>
    </row>
    <row r="15" spans="1:15" x14ac:dyDescent="0.25">
      <c r="A15" s="15" t="s">
        <v>12</v>
      </c>
      <c r="B15" s="7">
        <v>55.777999999999999</v>
      </c>
      <c r="C15" s="7">
        <v>51.027999999999999</v>
      </c>
      <c r="D15" s="7">
        <v>62.445</v>
      </c>
      <c r="E15" s="7">
        <v>68.795000000000002</v>
      </c>
      <c r="F15" s="7">
        <v>82.114000000000004</v>
      </c>
      <c r="G15" s="7">
        <v>96.036000000000001</v>
      </c>
      <c r="H15" s="7">
        <v>113.426</v>
      </c>
      <c r="I15" s="7">
        <v>129.97999999999999</v>
      </c>
      <c r="J15" s="7">
        <v>122.248</v>
      </c>
      <c r="K15" s="7">
        <v>66.706000000000003</v>
      </c>
      <c r="L15" s="7">
        <v>81.927999999999997</v>
      </c>
      <c r="M15" s="7">
        <v>63.834000000000003</v>
      </c>
      <c r="N15" s="7">
        <v>115.238</v>
      </c>
      <c r="O15" s="8">
        <v>129.571</v>
      </c>
    </row>
    <row r="16" spans="1:15" x14ac:dyDescent="0.25">
      <c r="A16" s="16" t="s">
        <v>13</v>
      </c>
      <c r="B16" s="9">
        <f>B14-B15</f>
        <v>79.744</v>
      </c>
      <c r="C16" s="9">
        <f t="shared" ref="C16:O16" si="18">C14-C15</f>
        <v>87.916999999999945</v>
      </c>
      <c r="D16" s="9">
        <f t="shared" si="18"/>
        <v>105.3610000000001</v>
      </c>
      <c r="E16" s="9">
        <f t="shared" si="18"/>
        <v>112.39199999999995</v>
      </c>
      <c r="F16" s="9">
        <f t="shared" si="18"/>
        <v>142.98499999999993</v>
      </c>
      <c r="G16" s="9">
        <f t="shared" si="18"/>
        <v>162.5870000000001</v>
      </c>
      <c r="H16" s="9">
        <f t="shared" si="18"/>
        <v>192.78899999999987</v>
      </c>
      <c r="I16" s="9">
        <f t="shared" si="18"/>
        <v>214.67800000000025</v>
      </c>
      <c r="J16" s="9">
        <f t="shared" si="18"/>
        <v>277.90499999999975</v>
      </c>
      <c r="K16" s="9">
        <f t="shared" si="18"/>
        <v>361.97200000000009</v>
      </c>
      <c r="L16" s="9">
        <f t="shared" si="18"/>
        <v>400.70899999999983</v>
      </c>
      <c r="M16" s="9">
        <f t="shared" si="18"/>
        <v>491.29599999999988</v>
      </c>
      <c r="N16" s="9">
        <f t="shared" si="18"/>
        <v>510.46699999999981</v>
      </c>
      <c r="O16" s="10">
        <f t="shared" si="18"/>
        <v>449.64800000000048</v>
      </c>
    </row>
    <row r="17" spans="1:15" x14ac:dyDescent="0.25">
      <c r="A17" s="15" t="s">
        <v>14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</row>
    <row r="18" spans="1:15" x14ac:dyDescent="0.25">
      <c r="A18" s="16" t="s">
        <v>15</v>
      </c>
      <c r="B18" s="9">
        <f>B16+B17</f>
        <v>79.744</v>
      </c>
      <c r="C18" s="9">
        <f t="shared" ref="C18:O18" si="19">C16+C17</f>
        <v>87.916999999999945</v>
      </c>
      <c r="D18" s="9">
        <f t="shared" si="19"/>
        <v>105.3610000000001</v>
      </c>
      <c r="E18" s="9">
        <f t="shared" si="19"/>
        <v>112.39199999999995</v>
      </c>
      <c r="F18" s="9">
        <f t="shared" si="19"/>
        <v>142.98499999999993</v>
      </c>
      <c r="G18" s="9">
        <f t="shared" si="19"/>
        <v>162.5870000000001</v>
      </c>
      <c r="H18" s="9">
        <f t="shared" si="19"/>
        <v>192.78899999999987</v>
      </c>
      <c r="I18" s="9">
        <f t="shared" si="19"/>
        <v>214.67800000000025</v>
      </c>
      <c r="J18" s="9">
        <f t="shared" si="19"/>
        <v>277.90499999999975</v>
      </c>
      <c r="K18" s="9">
        <f t="shared" si="19"/>
        <v>361.97200000000009</v>
      </c>
      <c r="L18" s="9">
        <f t="shared" si="19"/>
        <v>400.70899999999983</v>
      </c>
      <c r="M18" s="9">
        <f t="shared" si="19"/>
        <v>491.29599999999988</v>
      </c>
      <c r="N18" s="9">
        <f t="shared" si="19"/>
        <v>510.46699999999981</v>
      </c>
      <c r="O18" s="10">
        <f t="shared" si="19"/>
        <v>449.64800000000048</v>
      </c>
    </row>
    <row r="19" spans="1:15" x14ac:dyDescent="0.25">
      <c r="A19" s="15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spans="1:15" x14ac:dyDescent="0.25">
      <c r="A20" s="17" t="s">
        <v>17</v>
      </c>
      <c r="B20" s="12">
        <f>B18+B19</f>
        <v>79.744</v>
      </c>
      <c r="C20" s="12">
        <f t="shared" ref="C20:O20" si="20">C18+C19</f>
        <v>87.916999999999945</v>
      </c>
      <c r="D20" s="12">
        <f t="shared" si="20"/>
        <v>105.3610000000001</v>
      </c>
      <c r="E20" s="12">
        <f t="shared" si="20"/>
        <v>112.39199999999995</v>
      </c>
      <c r="F20" s="12">
        <f t="shared" si="20"/>
        <v>142.98499999999993</v>
      </c>
      <c r="G20" s="12">
        <f t="shared" si="20"/>
        <v>162.5870000000001</v>
      </c>
      <c r="H20" s="12">
        <f t="shared" si="20"/>
        <v>192.78899999999987</v>
      </c>
      <c r="I20" s="12">
        <f t="shared" si="20"/>
        <v>214.67800000000025</v>
      </c>
      <c r="J20" s="12">
        <f t="shared" si="20"/>
        <v>277.90499999999975</v>
      </c>
      <c r="K20" s="12">
        <f t="shared" si="20"/>
        <v>361.97200000000009</v>
      </c>
      <c r="L20" s="12">
        <f t="shared" si="20"/>
        <v>400.70899999999983</v>
      </c>
      <c r="M20" s="12">
        <f t="shared" si="20"/>
        <v>491.29599999999988</v>
      </c>
      <c r="N20" s="12">
        <f t="shared" si="20"/>
        <v>510.46699999999981</v>
      </c>
      <c r="O20" s="14">
        <f t="shared" si="20"/>
        <v>449.64800000000048</v>
      </c>
    </row>
    <row r="21" spans="1:15" x14ac:dyDescent="0.25">
      <c r="A21" s="15" t="s">
        <v>18</v>
      </c>
      <c r="B21" s="7">
        <v>223.19399999999999</v>
      </c>
      <c r="C21" s="7">
        <v>259.59100000000001</v>
      </c>
      <c r="D21" s="7">
        <v>289.37700000000001</v>
      </c>
      <c r="E21" s="7">
        <v>320.09800000000001</v>
      </c>
      <c r="F21" s="7">
        <v>345.68799999999999</v>
      </c>
      <c r="G21" s="7">
        <v>386.89499999999998</v>
      </c>
      <c r="H21" s="7">
        <v>450.26600000000002</v>
      </c>
      <c r="I21" s="7">
        <v>498.6</v>
      </c>
      <c r="J21" s="7">
        <v>576.577</v>
      </c>
      <c r="K21" s="7">
        <v>633.38699999999994</v>
      </c>
      <c r="L21" s="7">
        <v>694.08500000000004</v>
      </c>
      <c r="M21" s="7">
        <v>796.20600000000002</v>
      </c>
      <c r="N21" s="7">
        <v>860.84</v>
      </c>
      <c r="O21" s="8">
        <v>856.09100000000001</v>
      </c>
    </row>
    <row r="22" spans="1:15" x14ac:dyDescent="0.25">
      <c r="A22" s="15" t="s">
        <v>19</v>
      </c>
      <c r="B22" s="7">
        <v>189.50899999999999</v>
      </c>
      <c r="C22" s="7">
        <v>227.702</v>
      </c>
      <c r="D22" s="7">
        <v>259.14499999999998</v>
      </c>
      <c r="E22" s="7">
        <v>282.33100000000002</v>
      </c>
      <c r="F22" s="7">
        <v>313.81099999999998</v>
      </c>
      <c r="G22" s="7">
        <v>345.36099999999999</v>
      </c>
      <c r="H22" s="7">
        <v>405.43900000000002</v>
      </c>
      <c r="I22" s="7">
        <v>454.04199999999997</v>
      </c>
      <c r="J22" s="7">
        <v>521.23199999999997</v>
      </c>
      <c r="K22" s="7">
        <v>571.68899999999996</v>
      </c>
      <c r="L22" s="7">
        <v>629.40700000000004</v>
      </c>
      <c r="M22" s="7">
        <v>725.64200000000005</v>
      </c>
      <c r="N22" s="7">
        <v>780.40800000000002</v>
      </c>
      <c r="O22" s="8">
        <v>777.36099999999999</v>
      </c>
    </row>
    <row r="23" spans="1:15" x14ac:dyDescent="0.25">
      <c r="A23" s="15" t="s">
        <v>20</v>
      </c>
      <c r="O23" s="2"/>
    </row>
    <row r="24" spans="1:15" x14ac:dyDescent="0.25">
      <c r="A24" s="15" t="s">
        <v>21</v>
      </c>
      <c r="O24" s="2"/>
    </row>
    <row r="25" spans="1:15" x14ac:dyDescent="0.25">
      <c r="A25" s="16" t="s">
        <v>22</v>
      </c>
      <c r="O25" s="2"/>
    </row>
    <row r="26" spans="1:15" x14ac:dyDescent="0.25">
      <c r="A26" s="17" t="s">
        <v>23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</row>
  </sheetData>
  <mergeCells count="2">
    <mergeCell ref="A1:O1"/>
    <mergeCell ref="A2:O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6526-4DA9-4BAE-80A0-16DEBC1D14BC}">
  <dimension ref="A1:O27"/>
  <sheetViews>
    <sheetView workbookViewId="0">
      <selection activeCell="Q23" sqref="Q23"/>
    </sheetView>
  </sheetViews>
  <sheetFormatPr defaultRowHeight="15" x14ac:dyDescent="0.25"/>
  <cols>
    <col min="1" max="1" width="36.28515625" bestFit="1" customWidth="1"/>
    <col min="2" max="15" width="11.28515625" bestFit="1" customWidth="1"/>
  </cols>
  <sheetData>
    <row r="1" spans="1:15" ht="26.25" x14ac:dyDescent="0.25">
      <c r="A1" s="88" t="s">
        <v>47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90"/>
    </row>
    <row r="2" spans="1:15" x14ac:dyDescent="0.25">
      <c r="A2" s="91" t="s">
        <v>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</row>
    <row r="3" spans="1:15" x14ac:dyDescent="0.25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6"/>
    </row>
    <row r="4" spans="1:15" x14ac:dyDescent="0.25">
      <c r="B4" s="3">
        <v>40178</v>
      </c>
      <c r="C4" s="3">
        <v>40543</v>
      </c>
      <c r="D4" s="3">
        <v>40908</v>
      </c>
      <c r="E4" s="3">
        <v>41274</v>
      </c>
      <c r="F4" s="3">
        <v>41639</v>
      </c>
      <c r="G4" s="3">
        <v>42004</v>
      </c>
      <c r="H4" s="3">
        <v>42369</v>
      </c>
      <c r="I4" s="3">
        <v>42735</v>
      </c>
      <c r="J4" s="3">
        <v>43100</v>
      </c>
      <c r="K4" s="3">
        <v>43465</v>
      </c>
      <c r="L4" s="3">
        <v>43830</v>
      </c>
      <c r="M4" s="3">
        <v>44196</v>
      </c>
      <c r="N4" s="3">
        <v>44561</v>
      </c>
      <c r="O4" s="22">
        <v>44926</v>
      </c>
    </row>
    <row r="5" spans="1:15" x14ac:dyDescent="0.25">
      <c r="A5" t="s">
        <v>24</v>
      </c>
      <c r="B5" s="20">
        <v>133.53299999999999</v>
      </c>
      <c r="C5" s="20">
        <v>133.47499999999999</v>
      </c>
      <c r="D5" s="20">
        <v>142.904</v>
      </c>
      <c r="E5" s="20">
        <v>114.828</v>
      </c>
      <c r="F5" s="20">
        <v>139.83600000000001</v>
      </c>
      <c r="G5" s="20">
        <v>151.809</v>
      </c>
      <c r="H5" s="20">
        <v>314.38900000000001</v>
      </c>
      <c r="I5" s="20">
        <v>169.31100000000001</v>
      </c>
      <c r="J5" s="20">
        <v>227.53</v>
      </c>
      <c r="K5" s="20">
        <v>192.43100000000001</v>
      </c>
      <c r="L5" s="20">
        <v>399.88400000000001</v>
      </c>
      <c r="M5" s="20">
        <v>386.274</v>
      </c>
      <c r="N5" s="20">
        <v>328.73899999999998</v>
      </c>
      <c r="O5" s="8"/>
    </row>
    <row r="6" spans="1:15" x14ac:dyDescent="0.25">
      <c r="A6" t="s">
        <v>25</v>
      </c>
      <c r="B6" s="20">
        <v>76.272999999999996</v>
      </c>
      <c r="C6" s="20">
        <v>80.41</v>
      </c>
      <c r="D6" s="20">
        <v>87.2</v>
      </c>
      <c r="E6" s="20">
        <v>94.102999999999994</v>
      </c>
      <c r="F6" s="20">
        <v>105.779</v>
      </c>
      <c r="G6" s="20">
        <v>118.395</v>
      </c>
      <c r="H6" s="20">
        <v>131.58199999999999</v>
      </c>
      <c r="I6" s="20">
        <v>150.369</v>
      </c>
      <c r="J6" s="20">
        <v>173.67699999999999</v>
      </c>
      <c r="K6" s="20">
        <v>190.09100000000001</v>
      </c>
      <c r="L6" s="20">
        <v>210.26</v>
      </c>
      <c r="M6" s="20">
        <v>244.56</v>
      </c>
      <c r="N6" s="20">
        <v>255.327</v>
      </c>
      <c r="O6" s="8"/>
    </row>
    <row r="7" spans="1:15" x14ac:dyDescent="0.25">
      <c r="A7" t="s">
        <v>26</v>
      </c>
      <c r="B7" s="20">
        <v>25.89</v>
      </c>
      <c r="C7" s="20">
        <v>26.998000000000001</v>
      </c>
      <c r="D7" s="20">
        <v>30.702000000000002</v>
      </c>
      <c r="E7" s="20">
        <v>31.061</v>
      </c>
      <c r="F7" s="20">
        <v>30.321000000000002</v>
      </c>
      <c r="G7" s="20">
        <v>37.944000000000003</v>
      </c>
      <c r="H7" s="20">
        <v>36.860999999999997</v>
      </c>
      <c r="I7" s="20">
        <v>40.180999999999997</v>
      </c>
      <c r="J7" s="20">
        <v>39.960999999999999</v>
      </c>
      <c r="K7" s="20">
        <v>45.975000000000001</v>
      </c>
      <c r="L7" s="20">
        <v>52.954999999999998</v>
      </c>
      <c r="M7" s="20">
        <v>66.683000000000007</v>
      </c>
      <c r="N7" s="20">
        <v>68.328000000000003</v>
      </c>
      <c r="O7" s="8"/>
    </row>
    <row r="8" spans="1:15" x14ac:dyDescent="0.25">
      <c r="A8" t="s">
        <v>27</v>
      </c>
      <c r="B8" s="20">
        <v>6.1550000000000002</v>
      </c>
      <c r="C8" s="20">
        <v>9.76</v>
      </c>
      <c r="D8" s="20">
        <v>12.231999999999999</v>
      </c>
      <c r="E8" s="20">
        <v>11.21</v>
      </c>
      <c r="F8" s="20">
        <v>18.376000000000001</v>
      </c>
      <c r="G8" s="20">
        <v>32.569000000000003</v>
      </c>
      <c r="H8" s="20">
        <v>20.646000000000001</v>
      </c>
      <c r="I8" s="20">
        <v>17.635000000000002</v>
      </c>
      <c r="J8" s="20">
        <v>18.388999999999999</v>
      </c>
      <c r="K8" s="20">
        <v>25.71</v>
      </c>
      <c r="L8" s="20">
        <v>19.129000000000001</v>
      </c>
      <c r="M8" s="20">
        <v>24.169</v>
      </c>
      <c r="N8" s="20">
        <v>27.242000000000001</v>
      </c>
      <c r="O8" s="8"/>
    </row>
    <row r="9" spans="1:15" x14ac:dyDescent="0.25">
      <c r="A9" t="s">
        <v>28</v>
      </c>
      <c r="B9" s="20">
        <v>25.116</v>
      </c>
      <c r="C9" s="20">
        <v>36.134</v>
      </c>
      <c r="D9" s="20">
        <v>36.280999999999999</v>
      </c>
      <c r="E9" s="20">
        <v>37.917000000000002</v>
      </c>
      <c r="F9" s="20">
        <v>44.695</v>
      </c>
      <c r="G9" s="20">
        <v>77.787000000000006</v>
      </c>
      <c r="H9" s="20">
        <v>99.159000000000006</v>
      </c>
      <c r="I9" s="20">
        <v>118.377</v>
      </c>
      <c r="J9" s="20">
        <v>120.223</v>
      </c>
      <c r="K9" s="20">
        <v>112.744</v>
      </c>
      <c r="L9" s="20">
        <v>105.389</v>
      </c>
      <c r="M9" s="20">
        <v>147.69800000000001</v>
      </c>
      <c r="N9" s="20">
        <v>180.904</v>
      </c>
      <c r="O9" s="8"/>
    </row>
    <row r="10" spans="1:15" x14ac:dyDescent="0.25">
      <c r="A10" t="s">
        <v>33</v>
      </c>
      <c r="B10" s="20">
        <v>278.66800000000001</v>
      </c>
      <c r="C10" s="20">
        <v>305.03800000000001</v>
      </c>
      <c r="D10" s="20">
        <v>326.84300000000002</v>
      </c>
      <c r="E10" s="20">
        <v>306.267</v>
      </c>
      <c r="F10" s="20">
        <v>351.54</v>
      </c>
      <c r="G10" s="20">
        <v>428.36099999999999</v>
      </c>
      <c r="H10" s="20">
        <v>602.63699999999994</v>
      </c>
      <c r="I10" s="20">
        <v>495.87299999999999</v>
      </c>
      <c r="J10" s="20">
        <v>579.78</v>
      </c>
      <c r="K10" s="20">
        <v>566.95100000000002</v>
      </c>
      <c r="L10" s="20">
        <v>787.61699999999996</v>
      </c>
      <c r="M10" s="20">
        <v>869.38400000000001</v>
      </c>
      <c r="N10" s="20">
        <v>860.54</v>
      </c>
      <c r="O10" s="8"/>
    </row>
    <row r="11" spans="1:15" x14ac:dyDescent="0.25">
      <c r="A11" t="s">
        <v>29</v>
      </c>
      <c r="B11" s="20">
        <v>102.776</v>
      </c>
      <c r="C11" s="20">
        <v>97.384</v>
      </c>
      <c r="D11" s="20">
        <v>92.4</v>
      </c>
      <c r="E11" s="20">
        <v>91.444999999999993</v>
      </c>
      <c r="F11" s="20">
        <v>97.584000000000003</v>
      </c>
      <c r="G11" s="20">
        <v>114.04600000000001</v>
      </c>
      <c r="H11" s="20">
        <v>131.88999999999999</v>
      </c>
      <c r="I11" s="20">
        <v>138.53399999999999</v>
      </c>
      <c r="J11" s="20">
        <v>169.58600000000001</v>
      </c>
      <c r="K11" s="20">
        <v>234.93899999999999</v>
      </c>
      <c r="L11" s="20">
        <v>242.881</v>
      </c>
      <c r="M11" s="20">
        <v>297.36399999999998</v>
      </c>
      <c r="N11" s="20">
        <v>324.065</v>
      </c>
      <c r="O11" s="8"/>
    </row>
    <row r="12" spans="1:15" x14ac:dyDescent="0.25">
      <c r="A12" t="s">
        <v>30</v>
      </c>
      <c r="B12" s="20">
        <v>1.4059999999999999</v>
      </c>
      <c r="C12" s="20">
        <v>1.1930000000000001</v>
      </c>
      <c r="D12" s="20">
        <v>1.538</v>
      </c>
      <c r="E12" s="20">
        <v>2.097</v>
      </c>
      <c r="F12" s="20">
        <v>3.2690000000000001</v>
      </c>
      <c r="G12" s="20">
        <v>4.5860000000000003</v>
      </c>
      <c r="H12" s="20">
        <v>6.0540000000000003</v>
      </c>
      <c r="I12" s="20">
        <v>7.26</v>
      </c>
      <c r="J12" s="20">
        <v>8.1189999999999998</v>
      </c>
      <c r="K12" s="20">
        <v>8.718</v>
      </c>
      <c r="L12" s="20">
        <v>11.981999999999999</v>
      </c>
      <c r="M12" s="20">
        <v>53.250999999999998</v>
      </c>
      <c r="N12" s="20">
        <v>141.273</v>
      </c>
      <c r="O12" s="8"/>
    </row>
    <row r="13" spans="1:15" x14ac:dyDescent="0.25">
      <c r="A13" t="s">
        <v>31</v>
      </c>
      <c r="B13" s="20">
        <v>17.606000000000002</v>
      </c>
      <c r="C13" s="20">
        <v>17.356000000000002</v>
      </c>
      <c r="D13" s="20">
        <v>16.649000000000001</v>
      </c>
      <c r="E13" s="20">
        <v>16.597999999999999</v>
      </c>
      <c r="F13" s="20">
        <v>16.597999999999999</v>
      </c>
      <c r="G13" s="20">
        <v>16.297000000000001</v>
      </c>
      <c r="H13" s="20">
        <v>16.097000000000001</v>
      </c>
      <c r="I13" s="20">
        <v>16.058</v>
      </c>
      <c r="J13" s="20">
        <v>15.423</v>
      </c>
      <c r="K13" s="20">
        <v>14.919</v>
      </c>
      <c r="L13" s="20">
        <v>15.093</v>
      </c>
      <c r="M13" s="20">
        <v>15.061</v>
      </c>
      <c r="N13" s="20">
        <v>15.034000000000001</v>
      </c>
      <c r="O13" s="8"/>
    </row>
    <row r="14" spans="1:15" x14ac:dyDescent="0.25">
      <c r="A14" t="s">
        <v>32</v>
      </c>
      <c r="B14" s="20">
        <v>9.0239999999999991</v>
      </c>
      <c r="C14" s="20">
        <v>8.49</v>
      </c>
      <c r="D14" s="20">
        <v>8.9580000000000002</v>
      </c>
      <c r="E14" s="20">
        <v>8.6349999999999998</v>
      </c>
      <c r="F14" s="20">
        <v>9.0459999999999994</v>
      </c>
      <c r="G14" s="20">
        <v>10.006</v>
      </c>
      <c r="H14" s="20">
        <v>8.7970000000000006</v>
      </c>
      <c r="I14" s="20">
        <v>9.3789999999999996</v>
      </c>
      <c r="J14" s="20">
        <v>8.2720000000000002</v>
      </c>
      <c r="K14" s="20">
        <v>12.523</v>
      </c>
      <c r="L14" s="20">
        <v>12.521000000000001</v>
      </c>
      <c r="M14" s="20">
        <v>20.63</v>
      </c>
      <c r="N14" s="20">
        <v>22.535</v>
      </c>
      <c r="O14" s="8"/>
    </row>
    <row r="15" spans="1:15" x14ac:dyDescent="0.25">
      <c r="A15" t="s">
        <v>34</v>
      </c>
      <c r="B15" s="20">
        <v>175.09299999999999</v>
      </c>
      <c r="C15" s="20">
        <v>155.79900000000001</v>
      </c>
      <c r="D15" s="20">
        <v>153.69999999999999</v>
      </c>
      <c r="E15" s="20">
        <v>171.93</v>
      </c>
      <c r="F15" s="20">
        <v>173.715</v>
      </c>
      <c r="G15" s="20">
        <v>167.97200000000001</v>
      </c>
      <c r="H15" s="20">
        <v>197.208</v>
      </c>
      <c r="I15" s="20">
        <v>220.422</v>
      </c>
      <c r="J15" s="20">
        <v>256.97300000000001</v>
      </c>
      <c r="K15" s="20">
        <v>340.43400000000003</v>
      </c>
      <c r="L15" s="20">
        <v>594.47500000000002</v>
      </c>
      <c r="M15" s="20">
        <v>697.78399999999999</v>
      </c>
      <c r="N15" s="20">
        <v>811.27599999999995</v>
      </c>
      <c r="O15" s="8"/>
    </row>
    <row r="16" spans="1:15" s="1" customFormat="1" x14ac:dyDescent="0.25">
      <c r="A16" s="19" t="s">
        <v>35</v>
      </c>
      <c r="B16" s="12">
        <v>453.76100000000002</v>
      </c>
      <c r="C16" s="12">
        <v>460.83699999999999</v>
      </c>
      <c r="D16" s="12">
        <v>480.54300000000001</v>
      </c>
      <c r="E16" s="12">
        <v>478.197</v>
      </c>
      <c r="F16" s="12">
        <v>525.255</v>
      </c>
      <c r="G16" s="12">
        <v>596.33299999999997</v>
      </c>
      <c r="H16" s="12">
        <v>799.84500000000003</v>
      </c>
      <c r="I16" s="12">
        <v>716.29499999999996</v>
      </c>
      <c r="J16" s="12">
        <v>836.75300000000004</v>
      </c>
      <c r="K16" s="12">
        <v>907.38499999999999</v>
      </c>
      <c r="L16" s="12">
        <v>1382.0920000000001</v>
      </c>
      <c r="M16" s="12">
        <v>1567.1679999999999</v>
      </c>
      <c r="N16" s="12">
        <v>1671.816</v>
      </c>
      <c r="O16" s="14"/>
    </row>
    <row r="17" spans="1:15" x14ac:dyDescent="0.25">
      <c r="A17" t="s">
        <v>36</v>
      </c>
      <c r="B17" s="20">
        <v>219.423</v>
      </c>
      <c r="C17" s="20">
        <v>186.126</v>
      </c>
      <c r="D17" s="20">
        <v>197.17500000000001</v>
      </c>
      <c r="E17" s="20">
        <v>229.49799999999999</v>
      </c>
      <c r="F17" s="20">
        <v>254.61099999999999</v>
      </c>
      <c r="G17" s="20">
        <v>265.608</v>
      </c>
      <c r="H17" s="20">
        <v>375.983</v>
      </c>
      <c r="I17" s="20">
        <v>403.69799999999998</v>
      </c>
      <c r="J17" s="20">
        <v>398.28500000000003</v>
      </c>
      <c r="K17" s="20">
        <v>379.74299999999999</v>
      </c>
      <c r="L17" s="20">
        <v>453.83100000000002</v>
      </c>
      <c r="M17" s="20">
        <v>470.81900000000002</v>
      </c>
      <c r="N17" s="20">
        <v>590.74099999999999</v>
      </c>
      <c r="O17" s="8"/>
    </row>
    <row r="18" spans="1:15" x14ac:dyDescent="0.25">
      <c r="A18" t="s">
        <v>37</v>
      </c>
      <c r="B18" s="20">
        <v>1522.463</v>
      </c>
      <c r="C18" s="20">
        <v>1451.3209999999999</v>
      </c>
      <c r="D18" s="20">
        <v>1450.3689999999999</v>
      </c>
      <c r="E18" s="20">
        <v>1536.443</v>
      </c>
      <c r="F18" s="20">
        <v>1512.299</v>
      </c>
      <c r="G18" s="20">
        <v>1500.5989999999999</v>
      </c>
      <c r="H18" s="20">
        <v>2181.46</v>
      </c>
      <c r="I18" s="20">
        <v>2148.9899999999998</v>
      </c>
      <c r="J18" s="20">
        <v>3121.49</v>
      </c>
      <c r="K18" s="20">
        <v>3495.6909999999998</v>
      </c>
      <c r="L18" s="20">
        <v>4071.0549999999998</v>
      </c>
      <c r="M18" s="20">
        <v>4116.018</v>
      </c>
      <c r="N18" s="20">
        <v>5014.6379999999999</v>
      </c>
      <c r="O18" s="8">
        <v>4938.3</v>
      </c>
    </row>
    <row r="19" spans="1:15" x14ac:dyDescent="0.25">
      <c r="A19" t="s">
        <v>38</v>
      </c>
      <c r="B19" s="20">
        <v>32.869</v>
      </c>
      <c r="C19" s="20">
        <v>34.040999999999997</v>
      </c>
      <c r="D19" s="20">
        <v>37.716999999999999</v>
      </c>
      <c r="E19" s="20">
        <v>40.777999999999999</v>
      </c>
      <c r="F19" s="20">
        <v>40.72</v>
      </c>
      <c r="G19" s="20">
        <v>44.003</v>
      </c>
      <c r="H19" s="20">
        <v>42.652999999999999</v>
      </c>
      <c r="I19" s="20">
        <v>46.75</v>
      </c>
      <c r="J19" s="20">
        <v>52.362000000000002</v>
      </c>
      <c r="K19" s="20">
        <v>71.872</v>
      </c>
      <c r="L19" s="20">
        <v>70.233999999999995</v>
      </c>
      <c r="M19" s="20">
        <v>72.369</v>
      </c>
      <c r="N19" s="20">
        <v>87.58</v>
      </c>
      <c r="O19" s="8"/>
    </row>
    <row r="20" spans="1:15" x14ac:dyDescent="0.25">
      <c r="A20" t="s">
        <v>39</v>
      </c>
      <c r="B20" s="20">
        <v>1555.3320000000001</v>
      </c>
      <c r="C20" s="20">
        <v>1485.3620000000001</v>
      </c>
      <c r="D20" s="20">
        <v>1493.107</v>
      </c>
      <c r="E20" s="20">
        <v>1584.222</v>
      </c>
      <c r="F20" s="20">
        <v>1560.846</v>
      </c>
      <c r="G20" s="20">
        <v>1550.19</v>
      </c>
      <c r="H20" s="20">
        <v>2224.1129999999998</v>
      </c>
      <c r="I20" s="20">
        <v>2195.7399999999998</v>
      </c>
      <c r="J20" s="20">
        <v>3173.8519999999999</v>
      </c>
      <c r="K20" s="20">
        <v>3567.5630000000001</v>
      </c>
      <c r="L20" s="20">
        <v>4344.0200000000004</v>
      </c>
      <c r="M20" s="20">
        <v>4396.7539999999999</v>
      </c>
      <c r="N20" s="20">
        <v>5290.6109999999999</v>
      </c>
      <c r="O20" s="8"/>
    </row>
    <row r="21" spans="1:15" s="1" customFormat="1" x14ac:dyDescent="0.25">
      <c r="A21" s="19" t="s">
        <v>40</v>
      </c>
      <c r="B21" s="12">
        <f>B20+B17</f>
        <v>1774.7550000000001</v>
      </c>
      <c r="C21" s="12">
        <f t="shared" ref="C21:L21" si="0">C20+C17</f>
        <v>1671.4880000000001</v>
      </c>
      <c r="D21" s="12">
        <f t="shared" si="0"/>
        <v>1690.2819999999999</v>
      </c>
      <c r="E21" s="12">
        <f t="shared" si="0"/>
        <v>1813.72</v>
      </c>
      <c r="F21" s="12">
        <f t="shared" si="0"/>
        <v>1815.4569999999999</v>
      </c>
      <c r="G21" s="12">
        <f t="shared" si="0"/>
        <v>1815.798</v>
      </c>
      <c r="H21" s="12">
        <f t="shared" si="0"/>
        <v>2600.096</v>
      </c>
      <c r="I21" s="12">
        <f t="shared" si="0"/>
        <v>2599.4379999999996</v>
      </c>
      <c r="J21" s="12">
        <f t="shared" si="0"/>
        <v>3572.1369999999997</v>
      </c>
      <c r="K21" s="12">
        <f t="shared" si="0"/>
        <v>3947.306</v>
      </c>
      <c r="L21" s="12">
        <f t="shared" si="0"/>
        <v>4797.8510000000006</v>
      </c>
      <c r="M21" s="12">
        <f>M20+M17</f>
        <v>4867.5730000000003</v>
      </c>
      <c r="N21" s="12">
        <f t="shared" ref="N21" si="1">N20+N17</f>
        <v>5881.3519999999999</v>
      </c>
      <c r="O21" s="14"/>
    </row>
    <row r="22" spans="1:15" x14ac:dyDescent="0.25">
      <c r="A22" t="s">
        <v>41</v>
      </c>
      <c r="B22" s="20">
        <v>0.58599999999999997</v>
      </c>
      <c r="C22" s="20">
        <v>0.60099999999999998</v>
      </c>
      <c r="D22" s="20">
        <v>0.57699999999999996</v>
      </c>
      <c r="E22" s="20">
        <v>0.56299999999999994</v>
      </c>
      <c r="F22" s="20">
        <v>0.55800000000000005</v>
      </c>
      <c r="G22" s="20">
        <v>0.55600000000000005</v>
      </c>
      <c r="H22" s="20">
        <v>0.498</v>
      </c>
      <c r="I22" s="20">
        <v>0.48099999999999998</v>
      </c>
      <c r="J22" s="20">
        <v>0.42899999999999999</v>
      </c>
      <c r="K22" s="20">
        <v>0.41</v>
      </c>
      <c r="L22" s="20">
        <v>0.38900000000000001</v>
      </c>
      <c r="M22" s="20">
        <v>0.38900000000000001</v>
      </c>
      <c r="N22" s="20">
        <v>0.36099999999999999</v>
      </c>
      <c r="O22" s="8"/>
    </row>
    <row r="23" spans="1:15" x14ac:dyDescent="0.25">
      <c r="A23" t="s">
        <v>42</v>
      </c>
      <c r="B23" s="20">
        <v>-1341.961</v>
      </c>
      <c r="C23" s="20">
        <v>-1254.0440000000001</v>
      </c>
      <c r="D23" s="20">
        <v>-1207.915</v>
      </c>
      <c r="E23" s="20">
        <v>-1335.364</v>
      </c>
      <c r="F23" s="20">
        <v>-1289.4449999999999</v>
      </c>
      <c r="G23" s="20">
        <v>-1246.921</v>
      </c>
      <c r="H23" s="20">
        <v>-1804.143</v>
      </c>
      <c r="I23" s="20">
        <v>-1881.52</v>
      </c>
      <c r="J23" s="20">
        <v>-2739.4369999999999</v>
      </c>
      <c r="K23" s="20">
        <v>-3036.471</v>
      </c>
      <c r="L23" s="20">
        <v>-3412.6489999999999</v>
      </c>
      <c r="M23" s="20">
        <v>-3303.4920000000002</v>
      </c>
      <c r="N23" s="20">
        <v>-4207.9170000000004</v>
      </c>
      <c r="O23" s="8"/>
    </row>
    <row r="24" spans="1:15" x14ac:dyDescent="0.25">
      <c r="A24" t="s">
        <v>43</v>
      </c>
      <c r="B24" s="20">
        <v>-4.1059999999999999</v>
      </c>
      <c r="C24" s="20">
        <v>-2.74</v>
      </c>
      <c r="D24" s="20">
        <v>-2.4009999999999998</v>
      </c>
      <c r="E24" s="20">
        <v>-2.3860000000000001</v>
      </c>
      <c r="F24" s="20">
        <v>-1.984</v>
      </c>
      <c r="G24" s="20">
        <v>-2.661</v>
      </c>
      <c r="H24" s="20">
        <v>-3.548</v>
      </c>
      <c r="I24" s="20">
        <v>-3.11</v>
      </c>
      <c r="J24" s="20">
        <v>-2.0299999999999998</v>
      </c>
      <c r="K24" s="20">
        <v>-4.4290000000000003</v>
      </c>
      <c r="L24" s="20">
        <v>-3.742</v>
      </c>
      <c r="M24" s="20">
        <v>-2.4239999999999999</v>
      </c>
      <c r="N24" s="20">
        <v>-2.82</v>
      </c>
      <c r="O24" s="8"/>
    </row>
    <row r="25" spans="1:15" x14ac:dyDescent="0.25">
      <c r="A25" t="s">
        <v>44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8"/>
    </row>
    <row r="26" spans="1:15" x14ac:dyDescent="0.25">
      <c r="A26" s="19" t="s">
        <v>45</v>
      </c>
      <c r="B26" s="12">
        <f>-1320.994</f>
        <v>-1320.9939999999999</v>
      </c>
      <c r="C26" s="12">
        <v>-1210.6510000000001</v>
      </c>
      <c r="D26" s="12">
        <v>-1209.739</v>
      </c>
      <c r="E26" s="12">
        <v>-1335.5229999999999</v>
      </c>
      <c r="F26" s="12">
        <v>-1290.202</v>
      </c>
      <c r="G26" s="12">
        <v>-1219.4649999999999</v>
      </c>
      <c r="H26" s="12">
        <v>-1800.251</v>
      </c>
      <c r="I26" s="12">
        <v>-1883.143</v>
      </c>
      <c r="J26" s="12">
        <v>-2735.384</v>
      </c>
      <c r="K26" s="12">
        <v>-3039.9209999999998</v>
      </c>
      <c r="L26" s="12">
        <v>-3415.759</v>
      </c>
      <c r="M26" s="12">
        <v>-3300.4050000000002</v>
      </c>
      <c r="N26" s="12">
        <v>-4209.5360000000001</v>
      </c>
      <c r="O26" s="14">
        <v>-4209.5360000000001</v>
      </c>
    </row>
    <row r="27" spans="1:15" s="1" customFormat="1" x14ac:dyDescent="0.25">
      <c r="A27" s="19" t="s">
        <v>46</v>
      </c>
      <c r="B27" s="12">
        <f>B21+B26</f>
        <v>453.76100000000019</v>
      </c>
      <c r="C27" s="12">
        <f t="shared" ref="C27:N27" si="2">C21+C26</f>
        <v>460.83699999999999</v>
      </c>
      <c r="D27" s="12">
        <f t="shared" si="2"/>
        <v>480.54299999999989</v>
      </c>
      <c r="E27" s="12">
        <f t="shared" si="2"/>
        <v>478.19700000000012</v>
      </c>
      <c r="F27" s="12">
        <f t="shared" si="2"/>
        <v>525.25499999999988</v>
      </c>
      <c r="G27" s="12">
        <f t="shared" si="2"/>
        <v>596.33300000000008</v>
      </c>
      <c r="H27" s="12">
        <f t="shared" si="2"/>
        <v>799.84500000000003</v>
      </c>
      <c r="I27" s="12">
        <f t="shared" si="2"/>
        <v>716.29499999999962</v>
      </c>
      <c r="J27" s="12">
        <f t="shared" si="2"/>
        <v>836.7529999999997</v>
      </c>
      <c r="K27" s="12">
        <f t="shared" si="2"/>
        <v>907.38500000000022</v>
      </c>
      <c r="L27" s="12">
        <f t="shared" si="2"/>
        <v>1382.0920000000006</v>
      </c>
      <c r="M27" s="12">
        <f t="shared" si="2"/>
        <v>1567.1680000000001</v>
      </c>
      <c r="N27" s="12">
        <f t="shared" si="2"/>
        <v>1671.8159999999998</v>
      </c>
      <c r="O27" s="14"/>
    </row>
  </sheetData>
  <mergeCells count="2">
    <mergeCell ref="A1:O1"/>
    <mergeCell ref="A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workbookViewId="0">
      <selection activeCell="Q15" sqref="Q15"/>
    </sheetView>
  </sheetViews>
  <sheetFormatPr defaultRowHeight="15" x14ac:dyDescent="0.25"/>
  <cols>
    <col min="1" max="1" width="48.5703125" bestFit="1" customWidth="1"/>
    <col min="2" max="9" width="10.7109375" bestFit="1" customWidth="1"/>
    <col min="10" max="10" width="11.28515625" bestFit="1" customWidth="1"/>
    <col min="11" max="11" width="10.7109375" bestFit="1" customWidth="1"/>
    <col min="12" max="12" width="11.28515625" bestFit="1" customWidth="1"/>
    <col min="13" max="13" width="10.7109375" bestFit="1" customWidth="1"/>
    <col min="14" max="14" width="11.28515625" bestFit="1" customWidth="1"/>
    <col min="15" max="15" width="10.7109375" bestFit="1" customWidth="1"/>
  </cols>
  <sheetData>
    <row r="1" spans="1:15" ht="26.25" x14ac:dyDescent="0.25">
      <c r="A1" s="88" t="s">
        <v>48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90"/>
    </row>
    <row r="2" spans="1:15" x14ac:dyDescent="0.25">
      <c r="A2" s="91" t="s">
        <v>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</row>
    <row r="3" spans="1:15" x14ac:dyDescent="0.25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6"/>
    </row>
    <row r="4" spans="1:15" x14ac:dyDescent="0.25">
      <c r="B4" s="3">
        <v>40178</v>
      </c>
      <c r="C4" s="3">
        <v>40543</v>
      </c>
      <c r="D4" s="3">
        <v>40908</v>
      </c>
      <c r="E4" s="3">
        <v>41274</v>
      </c>
      <c r="F4" s="3">
        <v>41639</v>
      </c>
      <c r="G4" s="3">
        <v>42004</v>
      </c>
      <c r="H4" s="3">
        <v>42369</v>
      </c>
      <c r="I4" s="3">
        <v>42735</v>
      </c>
      <c r="J4" s="3">
        <v>43100</v>
      </c>
      <c r="K4" s="3">
        <v>43465</v>
      </c>
      <c r="L4" s="3">
        <v>43830</v>
      </c>
      <c r="M4" s="3">
        <v>44196</v>
      </c>
      <c r="N4" s="3">
        <v>44561</v>
      </c>
      <c r="O4" s="22">
        <v>44926</v>
      </c>
    </row>
    <row r="5" spans="1:15" x14ac:dyDescent="0.25">
      <c r="A5" t="s">
        <v>49</v>
      </c>
      <c r="B5" s="20">
        <v>79.744</v>
      </c>
      <c r="C5" s="20">
        <v>87.917000000000002</v>
      </c>
      <c r="D5" s="20">
        <v>105.361</v>
      </c>
      <c r="E5" s="20">
        <v>112.392</v>
      </c>
      <c r="F5" s="20">
        <v>142.98500000000001</v>
      </c>
      <c r="G5" s="20">
        <v>162.58699999999999</v>
      </c>
      <c r="H5" s="20">
        <v>192.78899999999999</v>
      </c>
      <c r="I5" s="20">
        <v>214.678</v>
      </c>
      <c r="J5" s="20">
        <v>277.90499999999997</v>
      </c>
      <c r="K5" s="20">
        <v>361.97199999999998</v>
      </c>
      <c r="L5" s="20">
        <v>400.709</v>
      </c>
      <c r="M5" s="20">
        <v>491.29599999999999</v>
      </c>
      <c r="N5" s="20">
        <v>510.46699999999998</v>
      </c>
      <c r="O5" s="8"/>
    </row>
    <row r="6" spans="1:15" x14ac:dyDescent="0.25">
      <c r="A6" t="s">
        <v>50</v>
      </c>
      <c r="B6" s="20">
        <v>33.685000000000002</v>
      </c>
      <c r="C6" s="20">
        <v>31.888999999999999</v>
      </c>
      <c r="D6" s="20">
        <v>30.231999999999999</v>
      </c>
      <c r="E6" s="20">
        <v>37.767000000000003</v>
      </c>
      <c r="F6" s="20">
        <v>31.876999999999999</v>
      </c>
      <c r="G6" s="20">
        <v>41.533999999999999</v>
      </c>
      <c r="H6" s="20">
        <v>44.826999999999998</v>
      </c>
      <c r="I6" s="20">
        <v>44.558</v>
      </c>
      <c r="J6" s="20">
        <v>55.344999999999999</v>
      </c>
      <c r="K6" s="20">
        <v>61.698</v>
      </c>
      <c r="L6" s="20">
        <v>64.677999999999997</v>
      </c>
      <c r="M6" s="20">
        <v>70.563999999999993</v>
      </c>
      <c r="N6" s="20">
        <v>80.432000000000002</v>
      </c>
      <c r="O6" s="8">
        <v>78.73</v>
      </c>
    </row>
    <row r="7" spans="1:15" x14ac:dyDescent="0.25">
      <c r="A7" t="s">
        <v>51</v>
      </c>
      <c r="B7" s="20">
        <v>-18.085000000000001</v>
      </c>
      <c r="C7" s="20">
        <v>9.891</v>
      </c>
      <c r="D7" s="20">
        <v>4.0979999999999999</v>
      </c>
      <c r="E7" s="20">
        <v>6.1340000000000003</v>
      </c>
      <c r="F7" s="20">
        <v>8.9109999999999996</v>
      </c>
      <c r="G7" s="20">
        <v>-11.234999999999999</v>
      </c>
      <c r="H7" s="20">
        <v>1.877</v>
      </c>
      <c r="I7" s="20">
        <v>-31.760999999999999</v>
      </c>
      <c r="J7" s="20">
        <v>-3.5019999999999998</v>
      </c>
      <c r="K7" s="20">
        <v>-6.6029999999999998</v>
      </c>
      <c r="L7" s="20">
        <v>-6.7439999999999998</v>
      </c>
      <c r="M7" s="20">
        <v>-18.7744</v>
      </c>
      <c r="N7" s="20">
        <v>-23.821999999999999</v>
      </c>
      <c r="O7" s="8"/>
    </row>
    <row r="8" spans="1:15" x14ac:dyDescent="0.25">
      <c r="A8" t="s">
        <v>52</v>
      </c>
      <c r="B8" s="20">
        <v>15.6</v>
      </c>
      <c r="C8" s="20">
        <v>41.78</v>
      </c>
      <c r="D8" s="20">
        <v>34.33</v>
      </c>
      <c r="E8" s="20">
        <v>43.901000000000003</v>
      </c>
      <c r="F8" s="20">
        <v>40.787999999999997</v>
      </c>
      <c r="G8" s="20">
        <v>30.298999999999999</v>
      </c>
      <c r="H8" s="20">
        <v>46.704000000000001</v>
      </c>
      <c r="I8" s="20">
        <v>12.797000000000001</v>
      </c>
      <c r="J8" s="20">
        <v>51.843000000000004</v>
      </c>
      <c r="K8" s="20">
        <v>55.094999999999999</v>
      </c>
      <c r="L8" s="20">
        <v>57.933999999999997</v>
      </c>
      <c r="M8" s="20">
        <v>51.79</v>
      </c>
      <c r="N8" s="20">
        <v>56.61</v>
      </c>
      <c r="O8" s="8"/>
    </row>
    <row r="9" spans="1:15" x14ac:dyDescent="0.25">
      <c r="A9" t="s">
        <v>53</v>
      </c>
      <c r="B9" s="20">
        <v>-5.6929999999999996</v>
      </c>
      <c r="C9" s="20">
        <v>-3.331</v>
      </c>
      <c r="D9" s="20">
        <v>-6.2850000000000001</v>
      </c>
      <c r="E9" s="20">
        <v>-6.4550000000000001</v>
      </c>
      <c r="F9" s="20">
        <v>-12.257999999999999</v>
      </c>
      <c r="G9" s="20">
        <v>-13.28</v>
      </c>
      <c r="H9" s="20">
        <v>-14.762</v>
      </c>
      <c r="I9" s="20">
        <v>-18.948</v>
      </c>
      <c r="J9" s="20">
        <v>-22.925999999999998</v>
      </c>
      <c r="K9" s="20">
        <v>-17.273</v>
      </c>
      <c r="L9" s="20">
        <v>-19.074999999999999</v>
      </c>
      <c r="M9" s="20">
        <v>-31.2</v>
      </c>
      <c r="N9" s="20">
        <v>-7.4480000000000004</v>
      </c>
      <c r="O9" s="8"/>
    </row>
    <row r="10" spans="1:15" x14ac:dyDescent="0.25">
      <c r="A10" t="s">
        <v>54</v>
      </c>
      <c r="B10" s="20">
        <v>-1.05</v>
      </c>
      <c r="C10" s="20">
        <v>-2.3570000000000002</v>
      </c>
      <c r="D10" s="20">
        <v>-4.9039999999999999</v>
      </c>
      <c r="E10" s="20">
        <v>-0.70299999999999996</v>
      </c>
      <c r="F10" s="20">
        <v>-0.24199999999999999</v>
      </c>
      <c r="G10" s="20">
        <v>-11.827</v>
      </c>
      <c r="H10" s="20">
        <v>-2.262</v>
      </c>
      <c r="I10" s="20">
        <v>-2.9470000000000001</v>
      </c>
      <c r="J10" s="20">
        <v>1.5269999999999999</v>
      </c>
      <c r="K10" s="20">
        <v>-12.455</v>
      </c>
      <c r="L10" s="20">
        <v>-6.7409999999999997</v>
      </c>
      <c r="M10" s="20">
        <v>-24.959</v>
      </c>
      <c r="N10" s="20">
        <v>-9.42</v>
      </c>
      <c r="O10" s="8"/>
    </row>
    <row r="11" spans="1:15" x14ac:dyDescent="0.25">
      <c r="A11" t="s">
        <v>55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8"/>
    </row>
    <row r="12" spans="1:15" x14ac:dyDescent="0.25">
      <c r="A12" t="s">
        <v>56</v>
      </c>
      <c r="B12" s="20">
        <v>-3.996</v>
      </c>
      <c r="C12" s="20">
        <v>3.798</v>
      </c>
      <c r="D12" s="20">
        <v>3.1520000000000001</v>
      </c>
      <c r="E12" s="20">
        <v>2.802</v>
      </c>
      <c r="F12" s="20">
        <v>0.84899999999999998</v>
      </c>
      <c r="G12" s="20">
        <v>1.784</v>
      </c>
      <c r="H12" s="20">
        <v>0.28499999999999998</v>
      </c>
      <c r="I12" s="20">
        <v>7.9509999999999996</v>
      </c>
      <c r="J12" s="20">
        <v>10.645</v>
      </c>
      <c r="K12" s="20">
        <v>-3.1779999999999999</v>
      </c>
      <c r="L12" s="20">
        <v>-1.3839999999999999</v>
      </c>
      <c r="M12" s="20">
        <v>36.912999999999997</v>
      </c>
      <c r="N12" s="20">
        <v>52.651000000000003</v>
      </c>
      <c r="O12" s="8"/>
    </row>
    <row r="13" spans="1:15" x14ac:dyDescent="0.25">
      <c r="A13" t="s">
        <v>57</v>
      </c>
      <c r="B13" s="20">
        <v>5.93</v>
      </c>
      <c r="C13" s="20">
        <v>-1.3720000000000001</v>
      </c>
      <c r="D13" s="20">
        <v>13.382</v>
      </c>
      <c r="E13" s="20">
        <v>20.558</v>
      </c>
      <c r="F13" s="20">
        <v>10.215999999999999</v>
      </c>
      <c r="G13" s="20">
        <v>-0.54700000000000004</v>
      </c>
      <c r="H13" s="20">
        <v>52.292999999999999</v>
      </c>
      <c r="I13" s="20">
        <v>64.984999999999999</v>
      </c>
      <c r="J13" s="20">
        <v>11.513</v>
      </c>
      <c r="K13" s="20">
        <v>-22.896000000000001</v>
      </c>
      <c r="L13" s="20">
        <v>38.307000000000002</v>
      </c>
      <c r="M13" s="20">
        <v>49.707999999999998</v>
      </c>
      <c r="N13" s="20">
        <v>87.129000000000005</v>
      </c>
      <c r="O13" s="8"/>
    </row>
    <row r="14" spans="1:15" s="1" customFormat="1" x14ac:dyDescent="0.25">
      <c r="A14" s="19" t="s">
        <v>58</v>
      </c>
      <c r="B14" s="12">
        <v>101.274</v>
      </c>
      <c r="C14" s="12">
        <v>128.32499999999999</v>
      </c>
      <c r="D14" s="12">
        <v>153.07300000000001</v>
      </c>
      <c r="E14" s="12">
        <v>176.32</v>
      </c>
      <c r="F14" s="12">
        <v>193.989</v>
      </c>
      <c r="G14" s="12">
        <v>192.339</v>
      </c>
      <c r="H14" s="12">
        <v>291.786</v>
      </c>
      <c r="I14" s="12">
        <v>292.45999999999998</v>
      </c>
      <c r="J14" s="12">
        <v>341.26100000000002</v>
      </c>
      <c r="K14" s="12">
        <v>394.17099999999999</v>
      </c>
      <c r="L14" s="12">
        <v>496.95</v>
      </c>
      <c r="M14" s="12">
        <v>592.79399999999998</v>
      </c>
      <c r="N14" s="12">
        <v>654.20600000000002</v>
      </c>
      <c r="O14" s="14">
        <v>499.75900000000001</v>
      </c>
    </row>
    <row r="15" spans="1:15" x14ac:dyDescent="0.25">
      <c r="A15" t="s">
        <v>59</v>
      </c>
      <c r="B15" s="20">
        <v>-19.14</v>
      </c>
      <c r="C15" s="20">
        <v>-22.684000000000001</v>
      </c>
      <c r="D15" s="20">
        <v>-18.318000000000001</v>
      </c>
      <c r="E15" s="20">
        <v>-26.279</v>
      </c>
      <c r="F15" s="20">
        <v>-40.387</v>
      </c>
      <c r="G15" s="20">
        <v>-60.933</v>
      </c>
      <c r="H15" s="20">
        <v>-50.558</v>
      </c>
      <c r="I15" s="20">
        <v>-53.619</v>
      </c>
      <c r="J15" s="20">
        <v>-83.176000000000002</v>
      </c>
      <c r="K15" s="20">
        <v>-111.521</v>
      </c>
      <c r="L15" s="20">
        <v>-73.307000000000002</v>
      </c>
      <c r="M15" s="20">
        <v>-88.593999999999994</v>
      </c>
      <c r="N15" s="20">
        <v>-94.156000000000006</v>
      </c>
      <c r="O15" s="8">
        <v>-94.028000000000006</v>
      </c>
    </row>
    <row r="16" spans="1:15" x14ac:dyDescent="0.25">
      <c r="A16" t="s">
        <v>60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8"/>
    </row>
    <row r="17" spans="1:15" x14ac:dyDescent="0.25">
      <c r="A17" t="s">
        <v>61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>
        <v>-3.423</v>
      </c>
      <c r="M17" s="20"/>
      <c r="N17" s="20"/>
      <c r="O17" s="8"/>
    </row>
    <row r="18" spans="1:15" x14ac:dyDescent="0.25">
      <c r="A18" t="s">
        <v>62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>
        <v>-40</v>
      </c>
      <c r="N18" s="20">
        <v>-49.082000000000001</v>
      </c>
      <c r="O18" s="8"/>
    </row>
    <row r="19" spans="1:15" x14ac:dyDescent="0.25">
      <c r="A19" t="s">
        <v>63</v>
      </c>
      <c r="B19" s="20"/>
      <c r="C19" s="20"/>
      <c r="D19" s="20"/>
      <c r="E19" s="20"/>
      <c r="F19" s="20">
        <v>4.5179999999999998</v>
      </c>
      <c r="G19" s="20"/>
      <c r="H19" s="20"/>
      <c r="I19" s="20"/>
      <c r="J19" s="20"/>
      <c r="K19" s="20">
        <v>-70.152000000000001</v>
      </c>
      <c r="L19" s="20"/>
      <c r="M19" s="20"/>
      <c r="N19" s="20"/>
      <c r="O19" s="8"/>
    </row>
    <row r="20" spans="1:15" x14ac:dyDescent="0.25">
      <c r="A20" t="s">
        <v>64</v>
      </c>
      <c r="B20" s="20"/>
      <c r="C20" s="20"/>
      <c r="D20" s="20"/>
      <c r="E20" s="20"/>
      <c r="F20" s="20">
        <v>4.5179999999999998</v>
      </c>
      <c r="G20" s="20"/>
      <c r="H20" s="20"/>
      <c r="I20" s="20"/>
      <c r="J20" s="20"/>
      <c r="K20" s="20">
        <v>-70.152000000000001</v>
      </c>
      <c r="L20" s="20"/>
      <c r="M20" s="20">
        <v>-40</v>
      </c>
      <c r="N20" s="20">
        <v>-49.082000000000001</v>
      </c>
      <c r="O20" s="8"/>
    </row>
    <row r="21" spans="1:15" x14ac:dyDescent="0.25">
      <c r="A21" t="s">
        <v>65</v>
      </c>
      <c r="B21" s="20">
        <v>-13.750999999999999</v>
      </c>
      <c r="C21" s="20">
        <v>4.3040000000000003</v>
      </c>
      <c r="D21" s="20">
        <v>-8.6229999999999993</v>
      </c>
      <c r="E21" s="20">
        <v>33.627000000000002</v>
      </c>
      <c r="F21" s="20">
        <v>-63.863999999999997</v>
      </c>
      <c r="G21" s="20">
        <v>3.49</v>
      </c>
      <c r="H21" s="20">
        <v>-58.734000000000002</v>
      </c>
      <c r="I21" s="20">
        <v>-1.661</v>
      </c>
      <c r="J21" s="20">
        <v>-0.56200000000000006</v>
      </c>
      <c r="K21" s="20">
        <v>93.415999999999997</v>
      </c>
      <c r="L21" s="20">
        <v>48.875999999999998</v>
      </c>
      <c r="M21" s="20">
        <v>-0.33300000000000002</v>
      </c>
      <c r="N21" s="20">
        <v>0.51500000000000001</v>
      </c>
      <c r="O21" s="8"/>
    </row>
    <row r="22" spans="1:15" s="1" customFormat="1" x14ac:dyDescent="0.25">
      <c r="A22" s="19" t="s">
        <v>66</v>
      </c>
      <c r="B22" s="12">
        <v>-32.890999999999998</v>
      </c>
      <c r="C22" s="12">
        <v>-18.38</v>
      </c>
      <c r="D22" s="12">
        <v>-26.940999999999999</v>
      </c>
      <c r="E22" s="12">
        <v>7.3479999999999999</v>
      </c>
      <c r="F22" s="12">
        <v>-99.733000000000004</v>
      </c>
      <c r="G22" s="12">
        <v>-57.442999999999998</v>
      </c>
      <c r="H22" s="12">
        <v>-109.292</v>
      </c>
      <c r="I22" s="12">
        <v>-55.28</v>
      </c>
      <c r="J22" s="12">
        <v>-83.738</v>
      </c>
      <c r="K22" s="12">
        <v>-88.257000000000005</v>
      </c>
      <c r="L22" s="12">
        <v>-27.853999999999999</v>
      </c>
      <c r="M22" s="12">
        <v>-128.92699999999999</v>
      </c>
      <c r="N22" s="12">
        <v>-142.72300000000001</v>
      </c>
      <c r="O22" s="14">
        <v>-111.074</v>
      </c>
    </row>
    <row r="23" spans="1:15" x14ac:dyDescent="0.25">
      <c r="A23" t="s">
        <v>67</v>
      </c>
      <c r="B23" s="20">
        <v>-75.683999999999997</v>
      </c>
      <c r="C23" s="20">
        <v>-113.899</v>
      </c>
      <c r="D23" s="20">
        <v>-0.89</v>
      </c>
      <c r="E23" s="20">
        <v>109.491</v>
      </c>
      <c r="F23" s="20">
        <v>-24.349</v>
      </c>
      <c r="G23" s="20">
        <v>-12.332000000000001</v>
      </c>
      <c r="H23" s="20">
        <v>740.59699999999998</v>
      </c>
      <c r="I23" s="20">
        <v>-59.334000000000003</v>
      </c>
      <c r="J23" s="20">
        <v>971.80700000000002</v>
      </c>
      <c r="K23" s="20">
        <v>365.91199999999998</v>
      </c>
      <c r="L23" s="20">
        <v>582.91499999999996</v>
      </c>
      <c r="M23" s="20">
        <v>-44.058</v>
      </c>
      <c r="N23" s="20">
        <v>939.78800000000001</v>
      </c>
      <c r="O23" s="8"/>
    </row>
    <row r="24" spans="1:15" x14ac:dyDescent="0.25">
      <c r="A24" t="s">
        <v>68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8"/>
    </row>
    <row r="25" spans="1:15" x14ac:dyDescent="0.25">
      <c r="A25" t="s">
        <v>69</v>
      </c>
      <c r="B25" s="20">
        <v>-75.683999999999997</v>
      </c>
      <c r="C25" s="20">
        <v>-113.899</v>
      </c>
      <c r="D25" s="20">
        <v>-0.89</v>
      </c>
      <c r="E25" s="20">
        <v>109.491</v>
      </c>
      <c r="F25" s="20">
        <v>-24.349</v>
      </c>
      <c r="G25" s="20">
        <v>-12.332000000000001</v>
      </c>
      <c r="H25" s="20">
        <v>740.59699999999998</v>
      </c>
      <c r="I25" s="20">
        <v>-59.334000000000003</v>
      </c>
      <c r="J25" s="20">
        <v>971.80700000000002</v>
      </c>
      <c r="K25" s="20">
        <v>365.91199999999998</v>
      </c>
      <c r="L25" s="20">
        <v>582.91499999999996</v>
      </c>
      <c r="M25" s="20">
        <v>-44.058</v>
      </c>
      <c r="N25" s="20">
        <v>939.78800000000001</v>
      </c>
      <c r="O25" s="8"/>
    </row>
    <row r="26" spans="1:15" x14ac:dyDescent="0.25">
      <c r="A26" t="s">
        <v>77</v>
      </c>
      <c r="B26" s="20">
        <v>5.1340000000000003</v>
      </c>
      <c r="C26" s="20">
        <v>8.6140000000000008</v>
      </c>
      <c r="D26" s="20">
        <v>-115.331</v>
      </c>
      <c r="E26" s="20">
        <v>-79.293000000000006</v>
      </c>
      <c r="F26" s="20">
        <v>-87.680999999999997</v>
      </c>
      <c r="G26" s="20">
        <v>-73.379000000000005</v>
      </c>
      <c r="H26" s="20">
        <v>-733.74300000000005</v>
      </c>
      <c r="I26" s="20">
        <v>-285.01600000000002</v>
      </c>
      <c r="J26" s="20">
        <v>-1058.154</v>
      </c>
      <c r="K26" s="20">
        <v>-581.38</v>
      </c>
      <c r="L26" s="20">
        <v>-685.94299999999998</v>
      </c>
      <c r="M26" s="20">
        <v>-273.62</v>
      </c>
      <c r="N26" s="20">
        <v>-1301.22</v>
      </c>
      <c r="O26" s="8"/>
    </row>
    <row r="27" spans="1:15" x14ac:dyDescent="0.25">
      <c r="A27" t="s">
        <v>70</v>
      </c>
      <c r="B27" s="20">
        <v>5.1340000000000003</v>
      </c>
      <c r="C27" s="20">
        <v>8.6140000000000008</v>
      </c>
      <c r="D27" s="20">
        <v>-115.331</v>
      </c>
      <c r="E27" s="20">
        <v>-79.293000000000006</v>
      </c>
      <c r="F27" s="20">
        <v>-87.680999999999997</v>
      </c>
      <c r="G27" s="20">
        <v>-73.379000000000005</v>
      </c>
      <c r="H27" s="20">
        <v>-733.74300000000005</v>
      </c>
      <c r="I27" s="20">
        <v>-285.01600000000002</v>
      </c>
      <c r="J27" s="20">
        <v>-1058.154</v>
      </c>
      <c r="K27" s="20">
        <v>-581.38</v>
      </c>
      <c r="L27" s="20">
        <v>-685.94299999999998</v>
      </c>
      <c r="M27" s="20">
        <v>-273.62</v>
      </c>
      <c r="N27" s="20">
        <v>-1301.22</v>
      </c>
      <c r="O27" s="8"/>
    </row>
    <row r="28" spans="1:15" x14ac:dyDescent="0.25">
      <c r="A28" t="s">
        <v>71</v>
      </c>
      <c r="B28" s="20"/>
      <c r="C28" s="20"/>
      <c r="D28" s="20"/>
      <c r="E28" s="20">
        <v>-185.48400000000001</v>
      </c>
      <c r="F28" s="20">
        <v>-34.241</v>
      </c>
      <c r="G28" s="20">
        <v>-52.843000000000004</v>
      </c>
      <c r="H28" s="20">
        <v>-80.328999999999994</v>
      </c>
      <c r="I28" s="20">
        <v>-73.924999999999997</v>
      </c>
      <c r="J28" s="20">
        <v>-84.298000000000002</v>
      </c>
      <c r="K28" s="20">
        <v>-92.165999999999997</v>
      </c>
      <c r="L28" s="20">
        <v>-105.715</v>
      </c>
      <c r="M28" s="20">
        <v>-121.925</v>
      </c>
      <c r="N28" s="20">
        <v>-139.399</v>
      </c>
      <c r="O28" s="8"/>
    </row>
    <row r="29" spans="1:15" x14ac:dyDescent="0.25">
      <c r="A29" t="s">
        <v>72</v>
      </c>
      <c r="B29" s="20">
        <v>-0.246</v>
      </c>
      <c r="C29" s="20">
        <v>1.018</v>
      </c>
      <c r="D29" s="20">
        <v>-7.2640000000000002</v>
      </c>
      <c r="E29" s="20">
        <v>-22.163</v>
      </c>
      <c r="F29" s="20">
        <v>11.467000000000001</v>
      </c>
      <c r="G29" s="20">
        <v>19.655999999999999</v>
      </c>
      <c r="H29" s="20">
        <v>-7.4610000000000003</v>
      </c>
      <c r="I29" s="20">
        <v>42.482999999999997</v>
      </c>
      <c r="J29" s="20">
        <v>-26.5</v>
      </c>
      <c r="K29" s="20">
        <v>-15.169</v>
      </c>
      <c r="L29" s="20">
        <v>-14.048999999999999</v>
      </c>
      <c r="M29" s="20">
        <v>-6.8029999999999999</v>
      </c>
      <c r="N29" s="20">
        <v>-22.001999999999999</v>
      </c>
      <c r="O29" s="8"/>
    </row>
    <row r="30" spans="1:15" s="1" customFormat="1" x14ac:dyDescent="0.25">
      <c r="A30" s="19" t="s">
        <v>73</v>
      </c>
      <c r="B30" s="12">
        <v>-70.796000000000006</v>
      </c>
      <c r="C30" s="12">
        <v>-104.267</v>
      </c>
      <c r="D30" s="12">
        <v>-123.485</v>
      </c>
      <c r="E30" s="12">
        <v>-177.44900000000001</v>
      </c>
      <c r="F30" s="12">
        <v>-134.804</v>
      </c>
      <c r="G30" s="12">
        <v>-118.898</v>
      </c>
      <c r="H30" s="12">
        <v>-80.936000000000007</v>
      </c>
      <c r="I30" s="12">
        <v>-375.79199999999997</v>
      </c>
      <c r="J30" s="12">
        <v>-197.14500000000001</v>
      </c>
      <c r="K30" s="12">
        <v>-322.803</v>
      </c>
      <c r="L30" s="12">
        <v>-222.792</v>
      </c>
      <c r="M30" s="12">
        <v>-446.40600000000001</v>
      </c>
      <c r="N30" s="12">
        <v>-522.83299999999997</v>
      </c>
      <c r="O30" s="14">
        <v>-598.94799999999998</v>
      </c>
    </row>
    <row r="31" spans="1:15" s="1" customFormat="1" x14ac:dyDescent="0.25">
      <c r="A31" s="1" t="s">
        <v>74</v>
      </c>
      <c r="B31" s="21">
        <v>-2.98</v>
      </c>
      <c r="C31" s="21">
        <v>5.5529999999999999</v>
      </c>
      <c r="D31" s="21">
        <v>2.347</v>
      </c>
      <c r="E31" s="21">
        <v>4.5209999999999999</v>
      </c>
      <c r="F31" s="21">
        <v>-40.43</v>
      </c>
      <c r="G31" s="21">
        <v>16.472000000000001</v>
      </c>
      <c r="H31" s="21">
        <v>102.59399999999999</v>
      </c>
      <c r="I31" s="21">
        <v>-139.89099999999999</v>
      </c>
      <c r="J31" s="21">
        <v>60.444000000000003</v>
      </c>
      <c r="K31" s="21">
        <v>-17.427</v>
      </c>
      <c r="L31" s="21">
        <v>246.505</v>
      </c>
      <c r="M31" s="21">
        <v>18.222000000000001</v>
      </c>
      <c r="N31" s="21">
        <v>-11.666</v>
      </c>
      <c r="O31" s="10"/>
    </row>
    <row r="32" spans="1:15" s="1" customFormat="1" x14ac:dyDescent="0.25">
      <c r="A32" s="1" t="s">
        <v>75</v>
      </c>
      <c r="B32" s="21">
        <v>17.254000000000001</v>
      </c>
      <c r="C32" s="21">
        <v>13.37</v>
      </c>
      <c r="D32" s="21">
        <v>13.954000000000001</v>
      </c>
      <c r="E32" s="21">
        <v>17.620999999999999</v>
      </c>
      <c r="F32" s="21">
        <v>21.986999999999998</v>
      </c>
      <c r="G32" s="21">
        <v>17.587</v>
      </c>
      <c r="H32" s="21">
        <v>17.263000000000002</v>
      </c>
      <c r="I32" s="21">
        <v>18.564</v>
      </c>
      <c r="J32" s="21">
        <v>20.713000000000001</v>
      </c>
      <c r="K32" s="21">
        <v>22.792000000000002</v>
      </c>
      <c r="L32" s="21">
        <v>20.265000000000001</v>
      </c>
      <c r="M32" s="21">
        <v>24.244</v>
      </c>
      <c r="N32" s="21">
        <v>28.67</v>
      </c>
      <c r="O32" s="10"/>
    </row>
    <row r="33" spans="1:15" s="1" customFormat="1" x14ac:dyDescent="0.25">
      <c r="A33" s="19" t="s">
        <v>76</v>
      </c>
      <c r="B33" s="12"/>
      <c r="C33" s="12"/>
      <c r="D33" s="12"/>
      <c r="E33" s="12">
        <v>-185.48400000000001</v>
      </c>
      <c r="F33" s="12">
        <v>-34.241</v>
      </c>
      <c r="G33" s="12">
        <v>-52.843000000000004</v>
      </c>
      <c r="H33" s="12">
        <v>-80.328999999999994</v>
      </c>
      <c r="I33" s="12">
        <v>-73.924999999999997</v>
      </c>
      <c r="J33" s="12">
        <v>-84.298000000000002</v>
      </c>
      <c r="K33" s="12">
        <v>-92.165999999999997</v>
      </c>
      <c r="L33" s="12">
        <v>-105.715</v>
      </c>
      <c r="M33" s="12">
        <v>-121.925</v>
      </c>
      <c r="N33" s="12">
        <v>-139.399</v>
      </c>
      <c r="O33" s="14"/>
    </row>
  </sheetData>
  <mergeCells count="2">
    <mergeCell ref="A1:O1"/>
    <mergeCell ref="A2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7B20-15A5-4A0E-ABAD-13AF966201AB}">
  <dimension ref="B2:V63"/>
  <sheetViews>
    <sheetView tabSelected="1" topLeftCell="A15" workbookViewId="0">
      <selection activeCell="K5" sqref="K5"/>
    </sheetView>
  </sheetViews>
  <sheetFormatPr defaultRowHeight="15" x14ac:dyDescent="0.25"/>
  <cols>
    <col min="3" max="3" width="9.7109375" bestFit="1" customWidth="1"/>
    <col min="4" max="14" width="10.5703125" bestFit="1" customWidth="1"/>
    <col min="15" max="15" width="11.5703125" customWidth="1"/>
    <col min="16" max="17" width="10.5703125" bestFit="1" customWidth="1"/>
    <col min="18" max="18" width="10.5703125" style="60" bestFit="1" customWidth="1"/>
    <col min="19" max="21" width="10.5703125" bestFit="1" customWidth="1"/>
    <col min="22" max="22" width="11.5703125" bestFit="1" customWidth="1"/>
  </cols>
  <sheetData>
    <row r="2" spans="2:22" ht="21" x14ac:dyDescent="0.35">
      <c r="B2" s="23" t="s">
        <v>120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9"/>
      <c r="S2" s="5"/>
      <c r="T2" s="5"/>
      <c r="U2" s="5"/>
      <c r="V2" s="5"/>
    </row>
    <row r="4" spans="2:22" x14ac:dyDescent="0.25">
      <c r="B4" t="s">
        <v>78</v>
      </c>
      <c r="C4" s="24" t="s">
        <v>121</v>
      </c>
      <c r="E4" t="s">
        <v>79</v>
      </c>
      <c r="G4" s="25">
        <f>V63</f>
        <v>1195.4904868357532</v>
      </c>
      <c r="U4" s="26"/>
    </row>
    <row r="5" spans="2:22" x14ac:dyDescent="0.25">
      <c r="B5" t="s">
        <v>80</v>
      </c>
      <c r="C5" s="27">
        <v>44956</v>
      </c>
      <c r="E5" t="s">
        <v>81</v>
      </c>
      <c r="G5" s="25">
        <v>348.49</v>
      </c>
      <c r="I5" t="s">
        <v>82</v>
      </c>
      <c r="K5" s="28">
        <f>G4/G5</f>
        <v>3.4304872071960548</v>
      </c>
      <c r="U5" s="26"/>
    </row>
    <row r="7" spans="2:22" x14ac:dyDescent="0.25">
      <c r="B7" s="29" t="s">
        <v>83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61"/>
      <c r="S7" s="30"/>
      <c r="T7" s="30"/>
      <c r="U7" s="30"/>
      <c r="V7" s="30"/>
    </row>
    <row r="8" spans="2:22" x14ac:dyDescent="0.25">
      <c r="B8" s="1" t="s">
        <v>84</v>
      </c>
    </row>
    <row r="9" spans="2:22" x14ac:dyDescent="0.25">
      <c r="B9" t="s">
        <v>85</v>
      </c>
      <c r="D9" s="57">
        <f>WACC!D22</f>
        <v>4.8819244717362244E-2</v>
      </c>
    </row>
    <row r="10" spans="2:22" x14ac:dyDescent="0.25">
      <c r="B10" t="s">
        <v>86</v>
      </c>
      <c r="D10" s="57">
        <v>0.03</v>
      </c>
    </row>
    <row r="11" spans="2:22" x14ac:dyDescent="0.25">
      <c r="R11" s="60">
        <v>1</v>
      </c>
      <c r="S11">
        <f>R11+1</f>
        <v>2</v>
      </c>
      <c r="T11">
        <f t="shared" ref="T11:V11" si="0">S11+1</f>
        <v>3</v>
      </c>
      <c r="U11">
        <f t="shared" si="0"/>
        <v>4</v>
      </c>
      <c r="V11">
        <f t="shared" si="0"/>
        <v>5</v>
      </c>
    </row>
    <row r="12" spans="2:22" x14ac:dyDescent="0.25">
      <c r="B12" s="29" t="s">
        <v>87</v>
      </c>
      <c r="C12" s="30"/>
      <c r="D12" s="29">
        <v>2009</v>
      </c>
      <c r="E12" s="29">
        <v>2010</v>
      </c>
      <c r="F12" s="29">
        <v>2011</v>
      </c>
      <c r="G12" s="29">
        <v>2012</v>
      </c>
      <c r="H12" s="29">
        <v>2013</v>
      </c>
      <c r="I12" s="29">
        <v>2014</v>
      </c>
      <c r="J12" s="29">
        <v>2015</v>
      </c>
      <c r="K12" s="29">
        <v>2016</v>
      </c>
      <c r="L12" s="29">
        <f t="shared" ref="L12:N12" si="1">K12+1</f>
        <v>2017</v>
      </c>
      <c r="M12" s="29">
        <f t="shared" si="1"/>
        <v>2018</v>
      </c>
      <c r="N12" s="29">
        <f t="shared" si="1"/>
        <v>2019</v>
      </c>
      <c r="O12" s="29">
        <v>2020</v>
      </c>
      <c r="P12" s="29">
        <v>2021</v>
      </c>
      <c r="Q12" s="29">
        <f>P12+1</f>
        <v>2022</v>
      </c>
      <c r="R12" s="62">
        <v>2023</v>
      </c>
      <c r="S12" s="29">
        <f>R12+1</f>
        <v>2024</v>
      </c>
      <c r="T12" s="29">
        <f>S12+1</f>
        <v>2025</v>
      </c>
      <c r="U12" s="29">
        <f>T12+1</f>
        <v>2026</v>
      </c>
      <c r="V12" s="29">
        <f>U12+1</f>
        <v>2027</v>
      </c>
    </row>
    <row r="13" spans="2:22" x14ac:dyDescent="0.25">
      <c r="B13" s="31" t="s">
        <v>2</v>
      </c>
      <c r="C13" s="31"/>
      <c r="D13" s="58">
        <f>'Income Statement'!B5</f>
        <v>1404.057</v>
      </c>
      <c r="E13" s="58">
        <f>'Income Statement'!C5</f>
        <v>1570.894</v>
      </c>
      <c r="F13" s="58">
        <f>'Income Statement'!D5</f>
        <v>1652.193</v>
      </c>
      <c r="G13" s="58">
        <f>'Income Statement'!E5</f>
        <v>1678.4390000000001</v>
      </c>
      <c r="H13" s="58">
        <f>'Income Statement'!F5</f>
        <v>1802.223</v>
      </c>
      <c r="I13" s="58">
        <f>'Income Statement'!G5</f>
        <v>1993.8330000000001</v>
      </c>
      <c r="J13" s="58">
        <f>'Income Statement'!H5</f>
        <v>2216.5279999999998</v>
      </c>
      <c r="K13" s="58">
        <f>'Income Statement'!I5</f>
        <v>2472.6280000000002</v>
      </c>
      <c r="L13" s="58">
        <f>'Income Statement'!J5</f>
        <v>2787.9789999999998</v>
      </c>
      <c r="M13" s="58">
        <f>'Income Statement'!K5</f>
        <v>3432.8670000000002</v>
      </c>
      <c r="N13" s="58">
        <f>'Income Statement'!L5</f>
        <v>3618.7739999999999</v>
      </c>
      <c r="O13" s="58">
        <f>'Income Statement'!M5</f>
        <v>4117.4110000000001</v>
      </c>
      <c r="P13" s="58">
        <f>'Income Statement'!N5</f>
        <v>4357.3729999999996</v>
      </c>
      <c r="Q13" s="58">
        <f>'Income Statement'!O5</f>
        <v>4488.1400000000003</v>
      </c>
      <c r="R13" s="78">
        <f>Q13*(1+R14)</f>
        <v>4824.0078903872109</v>
      </c>
      <c r="S13" s="79">
        <f t="shared" ref="S13:V13" si="2">R13*(1+S14)</f>
        <v>5185.0102997050153</v>
      </c>
      <c r="T13" s="79">
        <f t="shared" si="2"/>
        <v>5573.0281581046829</v>
      </c>
      <c r="U13" s="79">
        <f t="shared" si="2"/>
        <v>5990.0831542792994</v>
      </c>
      <c r="V13" s="79">
        <f t="shared" si="2"/>
        <v>6438.348269064435</v>
      </c>
    </row>
    <row r="14" spans="2:22" x14ac:dyDescent="0.25">
      <c r="B14" s="32" t="s">
        <v>88</v>
      </c>
      <c r="C14" s="31"/>
      <c r="D14" s="31"/>
      <c r="E14" s="33">
        <f t="shared" ref="E14:O14" si="3">E13/D13-1</f>
        <v>0.1188249479900032</v>
      </c>
      <c r="F14" s="33">
        <f t="shared" si="3"/>
        <v>5.1753332815581476E-2</v>
      </c>
      <c r="G14" s="33">
        <f t="shared" si="3"/>
        <v>1.5885553322160462E-2</v>
      </c>
      <c r="H14" s="33">
        <f t="shared" si="3"/>
        <v>7.3749477937535834E-2</v>
      </c>
      <c r="I14" s="33">
        <f t="shared" si="3"/>
        <v>0.10631869640993385</v>
      </c>
      <c r="J14" s="33">
        <f t="shared" si="3"/>
        <v>0.11169190197975443</v>
      </c>
      <c r="K14" s="33">
        <f t="shared" si="3"/>
        <v>0.11554106241834083</v>
      </c>
      <c r="L14" s="33">
        <f t="shared" si="3"/>
        <v>0.12753677463815816</v>
      </c>
      <c r="M14" s="33">
        <f t="shared" si="3"/>
        <v>0.23131020714288031</v>
      </c>
      <c r="N14" s="33">
        <f t="shared" si="3"/>
        <v>5.4155025522398592E-2</v>
      </c>
      <c r="O14" s="33">
        <f t="shared" si="3"/>
        <v>0.13779169409308234</v>
      </c>
      <c r="P14" s="33">
        <f>P13/O13-1</f>
        <v>5.8279826813499858E-2</v>
      </c>
      <c r="Q14" s="33">
        <f t="shared" ref="Q14" si="4">Q13/P13-1</f>
        <v>3.0010513215187329E-2</v>
      </c>
      <c r="R14" s="63">
        <f>AVERAGE(E14:Q14)-2%</f>
        <v>7.4834539561424357E-2</v>
      </c>
      <c r="S14" s="33">
        <f>R14</f>
        <v>7.4834539561424357E-2</v>
      </c>
      <c r="T14" s="33">
        <f t="shared" ref="T14:V14" si="5">S14</f>
        <v>7.4834539561424357E-2</v>
      </c>
      <c r="U14" s="33">
        <f t="shared" si="5"/>
        <v>7.4834539561424357E-2</v>
      </c>
      <c r="V14" s="33">
        <f t="shared" si="5"/>
        <v>7.4834539561424357E-2</v>
      </c>
    </row>
    <row r="15" spans="2:22" x14ac:dyDescent="0.25">
      <c r="B15" s="35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64"/>
      <c r="S15" s="31"/>
      <c r="T15" s="31"/>
      <c r="U15" s="31"/>
      <c r="V15" s="31"/>
    </row>
    <row r="16" spans="2:22" x14ac:dyDescent="0.25">
      <c r="B16" s="31" t="s">
        <v>19</v>
      </c>
      <c r="C16" s="31"/>
      <c r="D16" s="58">
        <f>'Income Statement'!B22</f>
        <v>189.50899999999999</v>
      </c>
      <c r="E16" s="58">
        <f>'Income Statement'!C22</f>
        <v>227.702</v>
      </c>
      <c r="F16" s="58">
        <f>'Income Statement'!D22</f>
        <v>259.14499999999998</v>
      </c>
      <c r="G16" s="58">
        <f>'Income Statement'!E22</f>
        <v>282.33100000000002</v>
      </c>
      <c r="H16" s="58">
        <f>'Income Statement'!F22</f>
        <v>313.81099999999998</v>
      </c>
      <c r="I16" s="58">
        <f>'Income Statement'!G22</f>
        <v>345.36099999999999</v>
      </c>
      <c r="J16" s="58">
        <f>'Income Statement'!H22</f>
        <v>405.43900000000002</v>
      </c>
      <c r="K16" s="58">
        <f>'Income Statement'!I22</f>
        <v>454.04199999999997</v>
      </c>
      <c r="L16" s="58">
        <f>'Income Statement'!J22</f>
        <v>521.23199999999997</v>
      </c>
      <c r="M16" s="58">
        <f>'Income Statement'!K22</f>
        <v>571.68899999999996</v>
      </c>
      <c r="N16" s="58">
        <f>'Income Statement'!L22</f>
        <v>629.40700000000004</v>
      </c>
      <c r="O16" s="58">
        <f>'Income Statement'!M22</f>
        <v>725.64200000000005</v>
      </c>
      <c r="P16" s="58">
        <f>'Income Statement'!N22</f>
        <v>780.40800000000002</v>
      </c>
      <c r="Q16" s="58">
        <f>'Income Statement'!O22</f>
        <v>777.36099999999999</v>
      </c>
      <c r="R16" s="78">
        <f>R13*R17</f>
        <v>818.29842354803952</v>
      </c>
      <c r="S16" s="79">
        <f t="shared" ref="S16:V16" si="6">S13*S17</f>
        <v>879.5354092980964</v>
      </c>
      <c r="T16" s="79">
        <f t="shared" si="6"/>
        <v>945.35503668088825</v>
      </c>
      <c r="U16" s="79">
        <f t="shared" si="6"/>
        <v>1016.100245572976</v>
      </c>
      <c r="V16" s="79">
        <f t="shared" si="6"/>
        <v>1092.1396395986799</v>
      </c>
    </row>
    <row r="17" spans="2:22" x14ac:dyDescent="0.25">
      <c r="B17" s="32" t="s">
        <v>89</v>
      </c>
      <c r="C17" s="31"/>
      <c r="D17" s="33">
        <f t="shared" ref="D17:N17" si="7">D16/D13</f>
        <v>0.13497244057755489</v>
      </c>
      <c r="E17" s="33">
        <f t="shared" si="7"/>
        <v>0.14495058227989921</v>
      </c>
      <c r="F17" s="33">
        <f t="shared" si="7"/>
        <v>0.15684910903266142</v>
      </c>
      <c r="G17" s="33">
        <f t="shared" si="7"/>
        <v>0.16821046222114716</v>
      </c>
      <c r="H17" s="33">
        <f t="shared" si="7"/>
        <v>0.17412440080944477</v>
      </c>
      <c r="I17" s="33">
        <f t="shared" si="7"/>
        <v>0.17321460724142893</v>
      </c>
      <c r="J17" s="33">
        <f t="shared" si="7"/>
        <v>0.18291625461081479</v>
      </c>
      <c r="K17" s="33">
        <f t="shared" si="7"/>
        <v>0.18362729856654536</v>
      </c>
      <c r="L17" s="33">
        <f t="shared" si="7"/>
        <v>0.18695693188506801</v>
      </c>
      <c r="M17" s="33">
        <f t="shared" si="7"/>
        <v>0.16653397874138437</v>
      </c>
      <c r="N17" s="33">
        <f t="shared" si="7"/>
        <v>0.17392824199576987</v>
      </c>
      <c r="O17" s="33">
        <f>O16/O13</f>
        <v>0.17623744629817137</v>
      </c>
      <c r="P17" s="33">
        <f t="shared" ref="P17:Q17" si="8">P16/P13</f>
        <v>0.17910057275335392</v>
      </c>
      <c r="Q17" s="33">
        <f t="shared" si="8"/>
        <v>0.17320337600876975</v>
      </c>
      <c r="R17" s="63">
        <f>AVERAGE(D17:Q17)</f>
        <v>0.16963040735871532</v>
      </c>
      <c r="S17" s="33">
        <f>R17</f>
        <v>0.16963040735871532</v>
      </c>
      <c r="T17" s="33">
        <f t="shared" ref="T17:V17" si="9">S17</f>
        <v>0.16963040735871532</v>
      </c>
      <c r="U17" s="33">
        <f t="shared" si="9"/>
        <v>0.16963040735871532</v>
      </c>
      <c r="V17" s="33">
        <f t="shared" si="9"/>
        <v>0.16963040735871532</v>
      </c>
    </row>
    <row r="18" spans="2:22" x14ac:dyDescent="0.25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64"/>
      <c r="S18" s="31"/>
      <c r="T18" s="31"/>
      <c r="U18" s="31"/>
      <c r="V18" s="31"/>
    </row>
    <row r="19" spans="2:22" x14ac:dyDescent="0.25">
      <c r="B19" s="31" t="s">
        <v>90</v>
      </c>
      <c r="C19" s="31"/>
      <c r="D19" s="58">
        <f>'Income Statement'!B15</f>
        <v>55.777999999999999</v>
      </c>
      <c r="E19" s="58">
        <f>'Income Statement'!C15</f>
        <v>51.027999999999999</v>
      </c>
      <c r="F19" s="58">
        <f>'Income Statement'!D15</f>
        <v>62.445</v>
      </c>
      <c r="G19" s="58">
        <f>'Income Statement'!E15</f>
        <v>68.795000000000002</v>
      </c>
      <c r="H19" s="58">
        <f>'Income Statement'!F15</f>
        <v>82.114000000000004</v>
      </c>
      <c r="I19" s="58">
        <f>'Income Statement'!G15</f>
        <v>96.036000000000001</v>
      </c>
      <c r="J19" s="58">
        <f>'Income Statement'!H15</f>
        <v>113.426</v>
      </c>
      <c r="K19" s="58">
        <f>'Income Statement'!I15</f>
        <v>129.97999999999999</v>
      </c>
      <c r="L19" s="58">
        <f>'Income Statement'!J15</f>
        <v>122.248</v>
      </c>
      <c r="M19" s="58">
        <f>'Income Statement'!K15</f>
        <v>66.706000000000003</v>
      </c>
      <c r="N19" s="58">
        <f>'Income Statement'!L15</f>
        <v>81.927999999999997</v>
      </c>
      <c r="O19" s="58">
        <f>'Income Statement'!M15</f>
        <v>63.834000000000003</v>
      </c>
      <c r="P19" s="58">
        <f>'Income Statement'!N15</f>
        <v>115.238</v>
      </c>
      <c r="Q19" s="58">
        <f>'Income Statement'!O15</f>
        <v>129.571</v>
      </c>
      <c r="R19" s="78">
        <f>R16*R20</f>
        <v>174.91344866079001</v>
      </c>
      <c r="S19" s="79">
        <f t="shared" ref="S19:V19" si="10">S16*S20</f>
        <v>188.00301605442107</v>
      </c>
      <c r="T19" s="79">
        <f t="shared" si="10"/>
        <v>202.0721351970127</v>
      </c>
      <c r="U19" s="79">
        <f t="shared" si="10"/>
        <v>217.19411039267504</v>
      </c>
      <c r="V19" s="79">
        <f t="shared" si="10"/>
        <v>233.44773163936406</v>
      </c>
    </row>
    <row r="20" spans="2:22" x14ac:dyDescent="0.25">
      <c r="B20" s="32" t="s">
        <v>91</v>
      </c>
      <c r="C20" s="31"/>
      <c r="D20" s="33">
        <f t="shared" ref="D20:N20" si="11">D19/D16</f>
        <v>0.29432902922816334</v>
      </c>
      <c r="E20" s="33">
        <f t="shared" si="11"/>
        <v>0.22409992007096996</v>
      </c>
      <c r="F20" s="33">
        <f t="shared" si="11"/>
        <v>0.24096548264485135</v>
      </c>
      <c r="G20" s="33">
        <f t="shared" si="11"/>
        <v>0.2436678933592131</v>
      </c>
      <c r="H20" s="33">
        <f t="shared" si="11"/>
        <v>0.26166705437349236</v>
      </c>
      <c r="I20" s="33">
        <f t="shared" si="11"/>
        <v>0.27807424694739707</v>
      </c>
      <c r="J20" s="33">
        <f t="shared" si="11"/>
        <v>0.27976095047590388</v>
      </c>
      <c r="K20" s="33">
        <f t="shared" si="11"/>
        <v>0.28627307605904301</v>
      </c>
      <c r="L20" s="33">
        <f t="shared" si="11"/>
        <v>0.23453663627712806</v>
      </c>
      <c r="M20" s="33">
        <f t="shared" si="11"/>
        <v>0.11668232203173405</v>
      </c>
      <c r="N20" s="33">
        <f t="shared" si="11"/>
        <v>0.13016696668451413</v>
      </c>
      <c r="O20" s="33">
        <f>O19/O16</f>
        <v>8.7968998486857158E-2</v>
      </c>
      <c r="P20" s="33">
        <f t="shared" ref="P20:Q20" si="12">P19/P16</f>
        <v>0.14766378612213099</v>
      </c>
      <c r="Q20" s="33">
        <f t="shared" si="12"/>
        <v>0.16668060270582136</v>
      </c>
      <c r="R20" s="63">
        <f>AVERAGE(D20:Q20)</f>
        <v>0.21375264039051572</v>
      </c>
      <c r="S20" s="33">
        <f>R20</f>
        <v>0.21375264039051572</v>
      </c>
      <c r="T20" s="33">
        <f t="shared" ref="T20:V20" si="13">S20</f>
        <v>0.21375264039051572</v>
      </c>
      <c r="U20" s="33">
        <f t="shared" si="13"/>
        <v>0.21375264039051572</v>
      </c>
      <c r="V20" s="33">
        <f t="shared" si="13"/>
        <v>0.21375264039051572</v>
      </c>
    </row>
    <row r="21" spans="2:22" x14ac:dyDescent="0.25"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64"/>
      <c r="S21" s="31"/>
      <c r="T21" s="31"/>
      <c r="U21" s="31"/>
      <c r="V21" s="31"/>
    </row>
    <row r="22" spans="2:22" x14ac:dyDescent="0.25">
      <c r="B22" s="29" t="s">
        <v>92</v>
      </c>
      <c r="C22" s="30"/>
      <c r="D22" s="29">
        <v>2009</v>
      </c>
      <c r="E22" s="29">
        <v>2010</v>
      </c>
      <c r="F22" s="29">
        <v>2011</v>
      </c>
      <c r="G22" s="29">
        <v>2012</v>
      </c>
      <c r="H22" s="29">
        <v>2013</v>
      </c>
      <c r="I22" s="29">
        <v>2014</v>
      </c>
      <c r="J22" s="29">
        <v>2015</v>
      </c>
      <c r="K22" s="29">
        <v>2016</v>
      </c>
      <c r="L22" s="29">
        <v>2017</v>
      </c>
      <c r="M22" s="29">
        <v>2018</v>
      </c>
      <c r="N22" s="29">
        <v>2019</v>
      </c>
      <c r="O22" s="29">
        <v>2020</v>
      </c>
      <c r="P22" s="29">
        <f t="shared" ref="P22:V22" si="14">O22+1</f>
        <v>2021</v>
      </c>
      <c r="Q22" s="29">
        <f t="shared" si="14"/>
        <v>2022</v>
      </c>
      <c r="R22" s="62">
        <v>2023</v>
      </c>
      <c r="S22" s="29">
        <f t="shared" si="14"/>
        <v>2024</v>
      </c>
      <c r="T22" s="29">
        <f t="shared" si="14"/>
        <v>2025</v>
      </c>
      <c r="U22" s="29">
        <f t="shared" si="14"/>
        <v>2026</v>
      </c>
      <c r="V22" s="29">
        <f t="shared" si="14"/>
        <v>2027</v>
      </c>
    </row>
    <row r="23" spans="2:22" x14ac:dyDescent="0.25">
      <c r="B23" s="31" t="s">
        <v>93</v>
      </c>
      <c r="C23" s="31"/>
      <c r="D23" s="58">
        <f>'Cash Flow Statement'!B6</f>
        <v>33.685000000000002</v>
      </c>
      <c r="E23" s="58">
        <f>'Cash Flow Statement'!C6</f>
        <v>31.888999999999999</v>
      </c>
      <c r="F23" s="58">
        <f>'Cash Flow Statement'!D6</f>
        <v>30.231999999999999</v>
      </c>
      <c r="G23" s="58">
        <f>'Cash Flow Statement'!E6</f>
        <v>37.767000000000003</v>
      </c>
      <c r="H23" s="58">
        <f>'Cash Flow Statement'!F6</f>
        <v>31.876999999999999</v>
      </c>
      <c r="I23" s="58">
        <f>'Cash Flow Statement'!G6</f>
        <v>41.533999999999999</v>
      </c>
      <c r="J23" s="58">
        <f>'Cash Flow Statement'!H6</f>
        <v>44.826999999999998</v>
      </c>
      <c r="K23" s="58">
        <f>'Cash Flow Statement'!I6</f>
        <v>44.558</v>
      </c>
      <c r="L23" s="58">
        <f>'Cash Flow Statement'!J6</f>
        <v>55.344999999999999</v>
      </c>
      <c r="M23" s="58">
        <f>'Cash Flow Statement'!K6</f>
        <v>61.698</v>
      </c>
      <c r="N23" s="58">
        <f>'Cash Flow Statement'!L6</f>
        <v>64.677999999999997</v>
      </c>
      <c r="O23" s="58">
        <f>'Cash Flow Statement'!M6</f>
        <v>70.563999999999993</v>
      </c>
      <c r="P23" s="58">
        <f>'Cash Flow Statement'!N6</f>
        <v>80.432000000000002</v>
      </c>
      <c r="Q23" s="58">
        <f>'Cash Flow Statement'!O6</f>
        <v>78.73</v>
      </c>
      <c r="R23" s="78">
        <f>R13*R24</f>
        <v>93.271943702139424</v>
      </c>
      <c r="S23" s="79">
        <f t="shared" ref="S23:V23" si="15">S13*S24</f>
        <v>100.25190666308811</v>
      </c>
      <c r="T23" s="79">
        <f t="shared" si="15"/>
        <v>107.75421193837519</v>
      </c>
      <c r="U23" s="79">
        <f t="shared" si="15"/>
        <v>115.81794877458763</v>
      </c>
      <c r="V23" s="79">
        <f t="shared" si="15"/>
        <v>124.48513164408253</v>
      </c>
    </row>
    <row r="24" spans="2:22" x14ac:dyDescent="0.25">
      <c r="B24" s="32" t="s">
        <v>89</v>
      </c>
      <c r="C24" s="31"/>
      <c r="D24" s="33">
        <f t="shared" ref="D24:N24" si="16">D23/D13</f>
        <v>2.3991191240811449E-2</v>
      </c>
      <c r="E24" s="33">
        <f t="shared" si="16"/>
        <v>2.0299905658815936E-2</v>
      </c>
      <c r="F24" s="33">
        <f t="shared" si="16"/>
        <v>1.8298104398214977E-2</v>
      </c>
      <c r="G24" s="33">
        <f t="shared" si="16"/>
        <v>2.2501264567851439E-2</v>
      </c>
      <c r="H24" s="33">
        <f t="shared" si="16"/>
        <v>1.7687600258125658E-2</v>
      </c>
      <c r="I24" s="33">
        <f t="shared" si="16"/>
        <v>2.0831233107286316E-2</v>
      </c>
      <c r="J24" s="33">
        <f t="shared" si="16"/>
        <v>2.0223971905610937E-2</v>
      </c>
      <c r="K24" s="33">
        <f t="shared" si="16"/>
        <v>1.8020502881953938E-2</v>
      </c>
      <c r="L24" s="33">
        <f t="shared" si="16"/>
        <v>1.9851297301737209E-2</v>
      </c>
      <c r="M24" s="33">
        <f t="shared" si="16"/>
        <v>1.7972732412878216E-2</v>
      </c>
      <c r="N24" s="33">
        <f t="shared" si="16"/>
        <v>1.7872903917183002E-2</v>
      </c>
      <c r="O24" s="33">
        <f>O23/O13</f>
        <v>1.7137953922987042E-2</v>
      </c>
      <c r="P24" s="33">
        <f t="shared" ref="P24:Q24" si="17">P23/P13</f>
        <v>1.8458828289430355E-2</v>
      </c>
      <c r="Q24" s="33">
        <f t="shared" si="17"/>
        <v>1.7541787912141778E-2</v>
      </c>
      <c r="R24" s="63">
        <f>AVERAGE(D24:Q24)</f>
        <v>1.933494841250202E-2</v>
      </c>
      <c r="S24" s="34">
        <f>R24</f>
        <v>1.933494841250202E-2</v>
      </c>
      <c r="T24" s="34">
        <f t="shared" ref="T24:V24" si="18">S24</f>
        <v>1.933494841250202E-2</v>
      </c>
      <c r="U24" s="34">
        <f t="shared" si="18"/>
        <v>1.933494841250202E-2</v>
      </c>
      <c r="V24" s="34">
        <f t="shared" si="18"/>
        <v>1.933494841250202E-2</v>
      </c>
    </row>
    <row r="25" spans="2:22" x14ac:dyDescent="0.25"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6"/>
      <c r="P25" s="36"/>
      <c r="Q25" s="36"/>
      <c r="R25" s="65"/>
      <c r="S25" s="36"/>
      <c r="T25" s="36"/>
      <c r="U25" s="36"/>
      <c r="V25" s="36"/>
    </row>
    <row r="26" spans="2:22" x14ac:dyDescent="0.25">
      <c r="B26" s="31" t="s">
        <v>94</v>
      </c>
      <c r="C26" s="31"/>
      <c r="D26" s="58">
        <f>'Cash Flow Statement'!B15</f>
        <v>-19.14</v>
      </c>
      <c r="E26" s="58">
        <f>'Cash Flow Statement'!C15</f>
        <v>-22.684000000000001</v>
      </c>
      <c r="F26" s="58">
        <f>'Cash Flow Statement'!D15</f>
        <v>-18.318000000000001</v>
      </c>
      <c r="G26" s="58">
        <f>'Cash Flow Statement'!E15</f>
        <v>-26.279</v>
      </c>
      <c r="H26" s="58">
        <f>'Cash Flow Statement'!F15</f>
        <v>-40.387</v>
      </c>
      <c r="I26" s="58">
        <f>'Cash Flow Statement'!G15</f>
        <v>-60.933</v>
      </c>
      <c r="J26" s="58">
        <f>'Cash Flow Statement'!H15</f>
        <v>-50.558</v>
      </c>
      <c r="K26" s="58">
        <f>'Cash Flow Statement'!I15</f>
        <v>-53.619</v>
      </c>
      <c r="L26" s="58">
        <f>'Cash Flow Statement'!J15</f>
        <v>-83.176000000000002</v>
      </c>
      <c r="M26" s="58">
        <f>'Cash Flow Statement'!K15</f>
        <v>-111.521</v>
      </c>
      <c r="N26" s="58">
        <f>'Cash Flow Statement'!L15</f>
        <v>-73.307000000000002</v>
      </c>
      <c r="O26" s="58">
        <f>'Cash Flow Statement'!M15</f>
        <v>-88.593999999999994</v>
      </c>
      <c r="P26" s="58">
        <f>'Cash Flow Statement'!N15</f>
        <v>-94.156000000000006</v>
      </c>
      <c r="Q26" s="58">
        <f>'Cash Flow Statement'!O15</f>
        <v>-94.028000000000006</v>
      </c>
      <c r="R26" s="78">
        <f>R13*R27</f>
        <v>-103.00428423424916</v>
      </c>
      <c r="S26" s="79">
        <f t="shared" ref="S26:V26" si="19">S13*S27</f>
        <v>-110.71256241777326</v>
      </c>
      <c r="T26" s="79">
        <f t="shared" si="19"/>
        <v>-118.99768604997277</v>
      </c>
      <c r="U26" s="79">
        <f t="shared" si="19"/>
        <v>-127.90282309439741</v>
      </c>
      <c r="V26" s="79">
        <f t="shared" si="19"/>
        <v>-137.47437196927294</v>
      </c>
    </row>
    <row r="27" spans="2:22" x14ac:dyDescent="0.25">
      <c r="B27" s="32" t="s">
        <v>89</v>
      </c>
      <c r="C27" s="31"/>
      <c r="D27" s="33">
        <f t="shared" ref="D27:N27" si="20">D26/D13</f>
        <v>-1.3631925199617964E-2</v>
      </c>
      <c r="E27" s="33">
        <f t="shared" si="20"/>
        <v>-1.4440185015666239E-2</v>
      </c>
      <c r="F27" s="33">
        <f t="shared" si="20"/>
        <v>-1.108708244133706E-2</v>
      </c>
      <c r="G27" s="33">
        <f t="shared" si="20"/>
        <v>-1.5656809690432597E-2</v>
      </c>
      <c r="H27" s="33">
        <f t="shared" si="20"/>
        <v>-2.2409546432378236E-2</v>
      </c>
      <c r="I27" s="33">
        <f t="shared" si="20"/>
        <v>-3.0560734023361031E-2</v>
      </c>
      <c r="J27" s="33">
        <f t="shared" si="20"/>
        <v>-2.2809547183703524E-2</v>
      </c>
      <c r="K27" s="33">
        <f t="shared" si="20"/>
        <v>-2.168502500173904E-2</v>
      </c>
      <c r="L27" s="33">
        <f t="shared" si="20"/>
        <v>-2.9833797169921298E-2</v>
      </c>
      <c r="M27" s="33">
        <f t="shared" si="20"/>
        <v>-3.2486257113951693E-2</v>
      </c>
      <c r="N27" s="33">
        <f t="shared" si="20"/>
        <v>-2.025741314599917E-2</v>
      </c>
      <c r="O27" s="33">
        <f>O26/O13</f>
        <v>-2.1516919248527774E-2</v>
      </c>
      <c r="P27" s="33">
        <f t="shared" ref="P27:Q27" si="21">P26/P13</f>
        <v>-2.1608432420176106E-2</v>
      </c>
      <c r="Q27" s="33">
        <f t="shared" si="21"/>
        <v>-2.0950326861461539E-2</v>
      </c>
      <c r="R27" s="63">
        <f>AVERAGE(D27:Q27)</f>
        <v>-2.1352428639162375E-2</v>
      </c>
      <c r="S27" s="34">
        <f>R27</f>
        <v>-2.1352428639162375E-2</v>
      </c>
      <c r="T27" s="34">
        <f t="shared" ref="T27:V27" si="22">S27</f>
        <v>-2.1352428639162375E-2</v>
      </c>
      <c r="U27" s="34">
        <f t="shared" si="22"/>
        <v>-2.1352428639162375E-2</v>
      </c>
      <c r="V27" s="34">
        <f t="shared" si="22"/>
        <v>-2.1352428639162375E-2</v>
      </c>
    </row>
    <row r="28" spans="2:22" x14ac:dyDescent="0.25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6"/>
      <c r="P28" s="36"/>
      <c r="Q28" s="36"/>
      <c r="R28" s="65"/>
      <c r="S28" s="36"/>
      <c r="T28" s="36"/>
      <c r="U28" s="36"/>
      <c r="V28" s="36"/>
    </row>
    <row r="29" spans="2:22" x14ac:dyDescent="0.25">
      <c r="B29" s="31" t="s">
        <v>95</v>
      </c>
      <c r="C29" s="31"/>
      <c r="D29" s="31"/>
      <c r="E29" s="58">
        <f>('Balance Sheet'!C10-'Balance Sheet'!C17)-('Balance Sheet'!B10-'Balance Sheet'!B17)</f>
        <v>59.667000000000002</v>
      </c>
      <c r="F29" s="58">
        <f>('Balance Sheet'!D10-'Balance Sheet'!D17)-('Balance Sheet'!C10-'Balance Sheet'!C17)</f>
        <v>10.756</v>
      </c>
      <c r="G29" s="58">
        <f>('Balance Sheet'!E10-'Balance Sheet'!E17)-('Balance Sheet'!D10-'Balance Sheet'!D17)</f>
        <v>-52.899000000000001</v>
      </c>
      <c r="H29" s="58">
        <f>('Balance Sheet'!F10-'Balance Sheet'!F17)-('Balance Sheet'!E10-'Balance Sheet'!E17)</f>
        <v>20.160000000000025</v>
      </c>
      <c r="I29" s="58">
        <f>('Balance Sheet'!G10-'Balance Sheet'!G17)-('Balance Sheet'!F10-'Balance Sheet'!F17)</f>
        <v>65.823999999999955</v>
      </c>
      <c r="J29" s="58">
        <f>('Balance Sheet'!H10-'Balance Sheet'!H17)-('Balance Sheet'!G10-'Balance Sheet'!G17)</f>
        <v>63.900999999999954</v>
      </c>
      <c r="K29" s="58">
        <f>('Balance Sheet'!I10-'Balance Sheet'!I17)-('Balance Sheet'!H10-'Balance Sheet'!H17)</f>
        <v>-134.47899999999993</v>
      </c>
      <c r="L29" s="58">
        <f>('Balance Sheet'!J10-'Balance Sheet'!J17)-('Balance Sheet'!I10-'Balance Sheet'!I17)</f>
        <v>89.319999999999936</v>
      </c>
      <c r="M29" s="58">
        <f>('Balance Sheet'!K10-'Balance Sheet'!K17)-('Balance Sheet'!J10-'Balance Sheet'!J17)</f>
        <v>5.7130000000000791</v>
      </c>
      <c r="N29" s="58">
        <f>('Balance Sheet'!L10-'Balance Sheet'!L17)-('Balance Sheet'!K10-'Balance Sheet'!K17)</f>
        <v>146.57799999999992</v>
      </c>
      <c r="O29" s="58">
        <f>('Balance Sheet'!M10-'Balance Sheet'!M17)-('Balance Sheet'!L10-'Balance Sheet'!L17)</f>
        <v>64.779000000000053</v>
      </c>
      <c r="P29" s="58">
        <f>('Balance Sheet'!N10-'Balance Sheet'!N17)-('Balance Sheet'!M10-'Balance Sheet'!M17)</f>
        <v>-128.76600000000002</v>
      </c>
      <c r="Q29" s="58">
        <f>('Balance Sheet'!O10-'Balance Sheet'!O17)-('Balance Sheet'!N10-'Balance Sheet'!N17)</f>
        <v>-269.79899999999998</v>
      </c>
      <c r="R29" s="78">
        <f>R13*R30</f>
        <v>11.834749272075838</v>
      </c>
      <c r="S29" s="79">
        <f t="shared" ref="S29:V29" si="23">S13*S30</f>
        <v>12.720397284676533</v>
      </c>
      <c r="T29" s="79">
        <f t="shared" si="23"/>
        <v>13.672322358513695</v>
      </c>
      <c r="U29" s="79">
        <f t="shared" si="23"/>
        <v>14.695484306948433</v>
      </c>
      <c r="V29" s="79">
        <f t="shared" si="23"/>
        <v>15.795214108691056</v>
      </c>
    </row>
    <row r="30" spans="2:22" x14ac:dyDescent="0.25">
      <c r="B30" s="32" t="s">
        <v>89</v>
      </c>
      <c r="C30" s="31"/>
      <c r="D30" s="31"/>
      <c r="E30" s="37">
        <f t="shared" ref="E30:N30" si="24">E29/E13</f>
        <v>3.7982830159132314E-2</v>
      </c>
      <c r="F30" s="37">
        <f t="shared" si="24"/>
        <v>6.5101353171209417E-3</v>
      </c>
      <c r="G30" s="37">
        <f t="shared" si="24"/>
        <v>-3.1516784345454317E-2</v>
      </c>
      <c r="H30" s="37">
        <f t="shared" si="24"/>
        <v>1.1186185061449125E-2</v>
      </c>
      <c r="I30" s="37">
        <f t="shared" si="24"/>
        <v>3.3013798046275668E-2</v>
      </c>
      <c r="J30" s="37">
        <f t="shared" si="24"/>
        <v>2.8829322255347085E-2</v>
      </c>
      <c r="K30" s="37">
        <f t="shared" si="24"/>
        <v>-5.4387073186908795E-2</v>
      </c>
      <c r="L30" s="37">
        <f t="shared" si="24"/>
        <v>3.2037544041759264E-2</v>
      </c>
      <c r="M30" s="37">
        <f t="shared" si="24"/>
        <v>1.664206623792905E-3</v>
      </c>
      <c r="N30" s="37">
        <f t="shared" si="24"/>
        <v>4.0504878171446997E-2</v>
      </c>
      <c r="O30" s="37">
        <f>O29/O13</f>
        <v>1.573294480439287E-2</v>
      </c>
      <c r="P30" s="37">
        <f t="shared" ref="P30:Q30" si="25">P29/P13</f>
        <v>-2.9551291569484647E-2</v>
      </c>
      <c r="Q30" s="37">
        <f t="shared" si="25"/>
        <v>-6.0113766504609915E-2</v>
      </c>
      <c r="R30" s="63">
        <f>AVERAGE(E30:Q30)</f>
        <v>2.4533022210968839E-3</v>
      </c>
      <c r="S30" s="33">
        <f>R30</f>
        <v>2.4533022210968839E-3</v>
      </c>
      <c r="T30" s="33">
        <f t="shared" ref="T30:V30" si="26">S30</f>
        <v>2.4533022210968839E-3</v>
      </c>
      <c r="U30" s="33">
        <f t="shared" si="26"/>
        <v>2.4533022210968839E-3</v>
      </c>
      <c r="V30" s="33">
        <f t="shared" si="26"/>
        <v>2.4533022210968839E-3</v>
      </c>
    </row>
    <row r="31" spans="2:22" x14ac:dyDescent="0.25">
      <c r="R31" s="60">
        <v>1</v>
      </c>
      <c r="S31">
        <f>R31+1</f>
        <v>2</v>
      </c>
      <c r="T31">
        <f t="shared" ref="T31:V31" si="27">S31+1</f>
        <v>3</v>
      </c>
      <c r="U31">
        <f t="shared" si="27"/>
        <v>4</v>
      </c>
      <c r="V31">
        <f t="shared" si="27"/>
        <v>5</v>
      </c>
    </row>
    <row r="32" spans="2:22" x14ac:dyDescent="0.25">
      <c r="B32" s="29" t="s">
        <v>96</v>
      </c>
      <c r="C32" s="30"/>
      <c r="D32" s="29">
        <v>2009</v>
      </c>
      <c r="E32" s="29">
        <v>2010</v>
      </c>
      <c r="F32" s="29">
        <v>2011</v>
      </c>
      <c r="G32" s="29">
        <v>2012</v>
      </c>
      <c r="H32" s="29">
        <v>2013</v>
      </c>
      <c r="I32" s="29">
        <v>2014</v>
      </c>
      <c r="J32" s="29">
        <v>2015</v>
      </c>
      <c r="K32" s="29">
        <v>2016</v>
      </c>
      <c r="L32" s="29">
        <v>2017</v>
      </c>
      <c r="M32" s="29">
        <v>2018</v>
      </c>
      <c r="N32" s="29">
        <v>2019</v>
      </c>
      <c r="O32" s="29">
        <v>2020</v>
      </c>
      <c r="P32" s="29">
        <f t="shared" ref="P32:V32" si="28">P22</f>
        <v>2021</v>
      </c>
      <c r="Q32" s="29">
        <f t="shared" si="28"/>
        <v>2022</v>
      </c>
      <c r="R32" s="62">
        <f t="shared" si="28"/>
        <v>2023</v>
      </c>
      <c r="S32" s="29">
        <f t="shared" si="28"/>
        <v>2024</v>
      </c>
      <c r="T32" s="29">
        <f t="shared" si="28"/>
        <v>2025</v>
      </c>
      <c r="U32" s="29">
        <f t="shared" si="28"/>
        <v>2026</v>
      </c>
      <c r="V32" s="29">
        <f t="shared" si="28"/>
        <v>2027</v>
      </c>
    </row>
    <row r="33" spans="2:22" x14ac:dyDescent="0.25">
      <c r="B33" t="s">
        <v>2</v>
      </c>
      <c r="D33" s="70">
        <f>D13</f>
        <v>1404.057</v>
      </c>
      <c r="E33" s="70">
        <f t="shared" ref="E33:Q33" si="29">E13</f>
        <v>1570.894</v>
      </c>
      <c r="F33" s="70">
        <f t="shared" si="29"/>
        <v>1652.193</v>
      </c>
      <c r="G33" s="70">
        <f t="shared" si="29"/>
        <v>1678.4390000000001</v>
      </c>
      <c r="H33" s="70">
        <f t="shared" si="29"/>
        <v>1802.223</v>
      </c>
      <c r="I33" s="70">
        <f t="shared" si="29"/>
        <v>1993.8330000000001</v>
      </c>
      <c r="J33" s="70">
        <f t="shared" si="29"/>
        <v>2216.5279999999998</v>
      </c>
      <c r="K33" s="70">
        <f t="shared" si="29"/>
        <v>2472.6280000000002</v>
      </c>
      <c r="L33" s="70">
        <f t="shared" si="29"/>
        <v>2787.9789999999998</v>
      </c>
      <c r="M33" s="70">
        <f t="shared" si="29"/>
        <v>3432.8670000000002</v>
      </c>
      <c r="N33" s="70">
        <f t="shared" si="29"/>
        <v>3618.7739999999999</v>
      </c>
      <c r="O33" s="70">
        <f t="shared" si="29"/>
        <v>4117.4110000000001</v>
      </c>
      <c r="P33" s="70">
        <f t="shared" si="29"/>
        <v>4357.3729999999996</v>
      </c>
      <c r="Q33" s="70">
        <f t="shared" si="29"/>
        <v>4488.1400000000003</v>
      </c>
      <c r="R33" s="80">
        <f>R13</f>
        <v>4824.0078903872109</v>
      </c>
      <c r="S33" s="81">
        <f t="shared" ref="S33:V33" si="30">S13</f>
        <v>5185.0102997050153</v>
      </c>
      <c r="T33" s="81">
        <f t="shared" si="30"/>
        <v>5573.0281581046829</v>
      </c>
      <c r="U33" s="81">
        <f t="shared" si="30"/>
        <v>5990.0831542792994</v>
      </c>
      <c r="V33" s="81">
        <f t="shared" si="30"/>
        <v>6438.348269064435</v>
      </c>
    </row>
    <row r="34" spans="2:22" x14ac:dyDescent="0.25">
      <c r="B34" s="38" t="s">
        <v>88</v>
      </c>
      <c r="E34" s="33">
        <f t="shared" ref="E34" si="31">E33/D33-1</f>
        <v>0.1188249479900032</v>
      </c>
      <c r="F34" s="33">
        <f t="shared" ref="F34" si="32">F33/E33-1</f>
        <v>5.1753332815581476E-2</v>
      </c>
      <c r="G34" s="33">
        <f t="shared" ref="G34" si="33">G33/F33-1</f>
        <v>1.5885553322160462E-2</v>
      </c>
      <c r="H34" s="33">
        <f t="shared" ref="H34" si="34">H33/G33-1</f>
        <v>7.3749477937535834E-2</v>
      </c>
      <c r="I34" s="33">
        <f t="shared" ref="I34" si="35">I33/H33-1</f>
        <v>0.10631869640993385</v>
      </c>
      <c r="J34" s="33">
        <f t="shared" ref="J34" si="36">J33/I33-1</f>
        <v>0.11169190197975443</v>
      </c>
      <c r="K34" s="33">
        <f t="shared" ref="K34" si="37">K33/J33-1</f>
        <v>0.11554106241834083</v>
      </c>
      <c r="L34" s="33">
        <f t="shared" ref="L34" si="38">L33/K33-1</f>
        <v>0.12753677463815816</v>
      </c>
      <c r="M34" s="33">
        <f t="shared" ref="M34" si="39">M33/L33-1</f>
        <v>0.23131020714288031</v>
      </c>
      <c r="N34" s="33">
        <f t="shared" ref="N34" si="40">N33/M33-1</f>
        <v>5.4155025522398592E-2</v>
      </c>
      <c r="O34" s="33">
        <f t="shared" ref="O34" si="41">O33/N33-1</f>
        <v>0.13779169409308234</v>
      </c>
      <c r="P34" s="33">
        <f t="shared" ref="P34" si="42">P33/O33-1</f>
        <v>5.8279826813499858E-2</v>
      </c>
      <c r="Q34" s="33">
        <f t="shared" ref="Q34" si="43">Q33/P33-1</f>
        <v>3.0010513215187329E-2</v>
      </c>
      <c r="R34" s="73">
        <f>R14</f>
        <v>7.4834539561424357E-2</v>
      </c>
      <c r="S34" s="77">
        <f t="shared" ref="S34:V34" si="44">S14</f>
        <v>7.4834539561424357E-2</v>
      </c>
      <c r="T34" s="77">
        <f t="shared" si="44"/>
        <v>7.4834539561424357E-2</v>
      </c>
      <c r="U34" s="77">
        <f t="shared" si="44"/>
        <v>7.4834539561424357E-2</v>
      </c>
      <c r="V34" s="77">
        <f t="shared" si="44"/>
        <v>7.4834539561424357E-2</v>
      </c>
    </row>
    <row r="35" spans="2:22" x14ac:dyDescent="0.25">
      <c r="R35" s="74"/>
      <c r="S35" s="75"/>
      <c r="T35" s="75"/>
      <c r="U35" s="75"/>
      <c r="V35" s="75"/>
    </row>
    <row r="36" spans="2:22" x14ac:dyDescent="0.25">
      <c r="B36" t="s">
        <v>19</v>
      </c>
      <c r="D36" s="70">
        <f>D16</f>
        <v>189.50899999999999</v>
      </c>
      <c r="E36" s="70">
        <f t="shared" ref="E36:Q36" si="45">E16</f>
        <v>227.702</v>
      </c>
      <c r="F36" s="70">
        <f t="shared" si="45"/>
        <v>259.14499999999998</v>
      </c>
      <c r="G36" s="70">
        <f t="shared" si="45"/>
        <v>282.33100000000002</v>
      </c>
      <c r="H36" s="70">
        <f t="shared" si="45"/>
        <v>313.81099999999998</v>
      </c>
      <c r="I36" s="70">
        <f t="shared" si="45"/>
        <v>345.36099999999999</v>
      </c>
      <c r="J36" s="70">
        <f t="shared" si="45"/>
        <v>405.43900000000002</v>
      </c>
      <c r="K36" s="70">
        <f t="shared" si="45"/>
        <v>454.04199999999997</v>
      </c>
      <c r="L36" s="70">
        <f t="shared" si="45"/>
        <v>521.23199999999997</v>
      </c>
      <c r="M36" s="70">
        <f t="shared" si="45"/>
        <v>571.68899999999996</v>
      </c>
      <c r="N36" s="70">
        <f t="shared" si="45"/>
        <v>629.40700000000004</v>
      </c>
      <c r="O36" s="70">
        <f t="shared" si="45"/>
        <v>725.64200000000005</v>
      </c>
      <c r="P36" s="70">
        <f t="shared" si="45"/>
        <v>780.40800000000002</v>
      </c>
      <c r="Q36" s="70">
        <f t="shared" si="45"/>
        <v>777.36099999999999</v>
      </c>
      <c r="R36" s="80">
        <f>R16</f>
        <v>818.29842354803952</v>
      </c>
      <c r="S36" s="81">
        <f t="shared" ref="S36:V36" si="46">S16</f>
        <v>879.5354092980964</v>
      </c>
      <c r="T36" s="81">
        <f t="shared" si="46"/>
        <v>945.35503668088825</v>
      </c>
      <c r="U36" s="81">
        <f t="shared" si="46"/>
        <v>1016.100245572976</v>
      </c>
      <c r="V36" s="81">
        <f t="shared" si="46"/>
        <v>1092.1396395986799</v>
      </c>
    </row>
    <row r="37" spans="2:22" x14ac:dyDescent="0.25">
      <c r="B37" s="38" t="s">
        <v>97</v>
      </c>
      <c r="D37" s="39">
        <f>D17</f>
        <v>0.13497244057755489</v>
      </c>
      <c r="E37" s="39">
        <f t="shared" ref="E37:Q37" si="47">E17</f>
        <v>0.14495058227989921</v>
      </c>
      <c r="F37" s="39">
        <f t="shared" si="47"/>
        <v>0.15684910903266142</v>
      </c>
      <c r="G37" s="39">
        <f t="shared" si="47"/>
        <v>0.16821046222114716</v>
      </c>
      <c r="H37" s="39">
        <f t="shared" si="47"/>
        <v>0.17412440080944477</v>
      </c>
      <c r="I37" s="39">
        <f t="shared" si="47"/>
        <v>0.17321460724142893</v>
      </c>
      <c r="J37" s="39">
        <f t="shared" si="47"/>
        <v>0.18291625461081479</v>
      </c>
      <c r="K37" s="39">
        <f t="shared" si="47"/>
        <v>0.18362729856654536</v>
      </c>
      <c r="L37" s="39">
        <f t="shared" si="47"/>
        <v>0.18695693188506801</v>
      </c>
      <c r="M37" s="39">
        <f t="shared" si="47"/>
        <v>0.16653397874138437</v>
      </c>
      <c r="N37" s="39">
        <f t="shared" si="47"/>
        <v>0.17392824199576987</v>
      </c>
      <c r="O37" s="39">
        <f t="shared" si="47"/>
        <v>0.17623744629817137</v>
      </c>
      <c r="P37" s="39">
        <f t="shared" si="47"/>
        <v>0.17910057275335392</v>
      </c>
      <c r="Q37" s="39">
        <f t="shared" si="47"/>
        <v>0.17320337600876975</v>
      </c>
      <c r="R37" s="73">
        <f>R17</f>
        <v>0.16963040735871532</v>
      </c>
      <c r="S37" s="77">
        <f t="shared" ref="S37:V37" si="48">S17</f>
        <v>0.16963040735871532</v>
      </c>
      <c r="T37" s="77">
        <f t="shared" si="48"/>
        <v>0.16963040735871532</v>
      </c>
      <c r="U37" s="77">
        <f t="shared" si="48"/>
        <v>0.16963040735871532</v>
      </c>
      <c r="V37" s="77">
        <f t="shared" si="48"/>
        <v>0.16963040735871532</v>
      </c>
    </row>
    <row r="38" spans="2:22" x14ac:dyDescent="0.25">
      <c r="R38" s="74"/>
      <c r="S38" s="76"/>
      <c r="T38" s="76"/>
      <c r="U38" s="75"/>
      <c r="V38" s="75"/>
    </row>
    <row r="39" spans="2:22" x14ac:dyDescent="0.25">
      <c r="B39" t="s">
        <v>90</v>
      </c>
      <c r="D39" s="70">
        <f>D19</f>
        <v>55.777999999999999</v>
      </c>
      <c r="E39" s="70">
        <f t="shared" ref="E39:Q39" si="49">E19</f>
        <v>51.027999999999999</v>
      </c>
      <c r="F39" s="70">
        <f t="shared" si="49"/>
        <v>62.445</v>
      </c>
      <c r="G39" s="70">
        <f t="shared" si="49"/>
        <v>68.795000000000002</v>
      </c>
      <c r="H39" s="70">
        <f t="shared" si="49"/>
        <v>82.114000000000004</v>
      </c>
      <c r="I39" s="70">
        <f t="shared" si="49"/>
        <v>96.036000000000001</v>
      </c>
      <c r="J39" s="70">
        <f t="shared" si="49"/>
        <v>113.426</v>
      </c>
      <c r="K39" s="70">
        <f t="shared" si="49"/>
        <v>129.97999999999999</v>
      </c>
      <c r="L39" s="70">
        <f t="shared" si="49"/>
        <v>122.248</v>
      </c>
      <c r="M39" s="70">
        <f t="shared" si="49"/>
        <v>66.706000000000003</v>
      </c>
      <c r="N39" s="70">
        <f t="shared" si="49"/>
        <v>81.927999999999997</v>
      </c>
      <c r="O39" s="70">
        <f t="shared" si="49"/>
        <v>63.834000000000003</v>
      </c>
      <c r="P39" s="70">
        <f t="shared" si="49"/>
        <v>115.238</v>
      </c>
      <c r="Q39" s="70">
        <f t="shared" si="49"/>
        <v>129.571</v>
      </c>
      <c r="R39" s="80">
        <f>R19</f>
        <v>174.91344866079001</v>
      </c>
      <c r="S39" s="81">
        <f t="shared" ref="S39:V39" si="50">S19</f>
        <v>188.00301605442107</v>
      </c>
      <c r="T39" s="81">
        <f t="shared" si="50"/>
        <v>202.0721351970127</v>
      </c>
      <c r="U39" s="81">
        <f t="shared" si="50"/>
        <v>217.19411039267504</v>
      </c>
      <c r="V39" s="81">
        <f t="shared" si="50"/>
        <v>233.44773163936406</v>
      </c>
    </row>
    <row r="40" spans="2:22" x14ac:dyDescent="0.25">
      <c r="B40" s="38" t="s">
        <v>91</v>
      </c>
      <c r="D40" s="39">
        <f>D20</f>
        <v>0.29432902922816334</v>
      </c>
      <c r="E40" s="39">
        <f t="shared" ref="E40:Q40" si="51">E20</f>
        <v>0.22409992007096996</v>
      </c>
      <c r="F40" s="39">
        <f t="shared" si="51"/>
        <v>0.24096548264485135</v>
      </c>
      <c r="G40" s="39">
        <f t="shared" si="51"/>
        <v>0.2436678933592131</v>
      </c>
      <c r="H40" s="39">
        <f t="shared" si="51"/>
        <v>0.26166705437349236</v>
      </c>
      <c r="I40" s="39">
        <f t="shared" si="51"/>
        <v>0.27807424694739707</v>
      </c>
      <c r="J40" s="39">
        <f t="shared" si="51"/>
        <v>0.27976095047590388</v>
      </c>
      <c r="K40" s="39">
        <f t="shared" si="51"/>
        <v>0.28627307605904301</v>
      </c>
      <c r="L40" s="39">
        <f t="shared" si="51"/>
        <v>0.23453663627712806</v>
      </c>
      <c r="M40" s="39">
        <f t="shared" si="51"/>
        <v>0.11668232203173405</v>
      </c>
      <c r="N40" s="39">
        <f t="shared" si="51"/>
        <v>0.13016696668451413</v>
      </c>
      <c r="O40" s="39">
        <f t="shared" si="51"/>
        <v>8.7968998486857158E-2</v>
      </c>
      <c r="P40" s="39">
        <f t="shared" si="51"/>
        <v>0.14766378612213099</v>
      </c>
      <c r="Q40" s="39">
        <f t="shared" si="51"/>
        <v>0.16668060270582136</v>
      </c>
      <c r="R40" s="73">
        <f>R20</f>
        <v>0.21375264039051572</v>
      </c>
      <c r="S40" s="77">
        <f t="shared" ref="S40:V40" si="52">S20</f>
        <v>0.21375264039051572</v>
      </c>
      <c r="T40" s="77">
        <f t="shared" si="52"/>
        <v>0.21375264039051572</v>
      </c>
      <c r="U40" s="77">
        <f t="shared" si="52"/>
        <v>0.21375264039051572</v>
      </c>
      <c r="V40" s="77">
        <f t="shared" si="52"/>
        <v>0.21375264039051572</v>
      </c>
    </row>
    <row r="42" spans="2:22" x14ac:dyDescent="0.25">
      <c r="B42" s="40" t="s">
        <v>98</v>
      </c>
      <c r="C42" s="41"/>
      <c r="D42" s="71">
        <f>D36-D39</f>
        <v>133.73099999999999</v>
      </c>
      <c r="E42" s="71">
        <f t="shared" ref="E42:V42" si="53">E36-E39</f>
        <v>176.67400000000001</v>
      </c>
      <c r="F42" s="71">
        <f t="shared" si="53"/>
        <v>196.7</v>
      </c>
      <c r="G42" s="71">
        <f t="shared" si="53"/>
        <v>213.536</v>
      </c>
      <c r="H42" s="71">
        <f t="shared" si="53"/>
        <v>231.69699999999997</v>
      </c>
      <c r="I42" s="71">
        <f t="shared" si="53"/>
        <v>249.32499999999999</v>
      </c>
      <c r="J42" s="71">
        <f t="shared" si="53"/>
        <v>292.01300000000003</v>
      </c>
      <c r="K42" s="71">
        <f t="shared" si="53"/>
        <v>324.06200000000001</v>
      </c>
      <c r="L42" s="71">
        <f t="shared" si="53"/>
        <v>398.98399999999998</v>
      </c>
      <c r="M42" s="71">
        <f t="shared" si="53"/>
        <v>504.98299999999995</v>
      </c>
      <c r="N42" s="71">
        <f t="shared" si="53"/>
        <v>547.47900000000004</v>
      </c>
      <c r="O42" s="71">
        <f t="shared" si="53"/>
        <v>661.80799999999999</v>
      </c>
      <c r="P42" s="71">
        <f t="shared" si="53"/>
        <v>665.17000000000007</v>
      </c>
      <c r="Q42" s="71">
        <f t="shared" si="53"/>
        <v>647.79</v>
      </c>
      <c r="R42" s="82">
        <f t="shared" si="53"/>
        <v>643.38497488724954</v>
      </c>
      <c r="S42" s="71">
        <f t="shared" si="53"/>
        <v>691.5323932436753</v>
      </c>
      <c r="T42" s="71">
        <f t="shared" si="53"/>
        <v>743.28290148387555</v>
      </c>
      <c r="U42" s="71">
        <f t="shared" si="53"/>
        <v>798.90613518030091</v>
      </c>
      <c r="V42" s="71">
        <f t="shared" si="53"/>
        <v>858.69190795931581</v>
      </c>
    </row>
    <row r="43" spans="2:22" x14ac:dyDescent="0.25">
      <c r="S43" s="42"/>
    </row>
    <row r="44" spans="2:22" x14ac:dyDescent="0.25">
      <c r="B44" t="s">
        <v>93</v>
      </c>
      <c r="D44" s="70">
        <f>D23</f>
        <v>33.685000000000002</v>
      </c>
      <c r="E44" s="70">
        <f t="shared" ref="E44:Q44" si="54">E23</f>
        <v>31.888999999999999</v>
      </c>
      <c r="F44" s="70">
        <f t="shared" si="54"/>
        <v>30.231999999999999</v>
      </c>
      <c r="G44" s="70">
        <f t="shared" si="54"/>
        <v>37.767000000000003</v>
      </c>
      <c r="H44" s="70">
        <f t="shared" si="54"/>
        <v>31.876999999999999</v>
      </c>
      <c r="I44" s="70">
        <f t="shared" si="54"/>
        <v>41.533999999999999</v>
      </c>
      <c r="J44" s="70">
        <f t="shared" si="54"/>
        <v>44.826999999999998</v>
      </c>
      <c r="K44" s="70">
        <f t="shared" si="54"/>
        <v>44.558</v>
      </c>
      <c r="L44" s="70">
        <f t="shared" si="54"/>
        <v>55.344999999999999</v>
      </c>
      <c r="M44" s="70">
        <f t="shared" si="54"/>
        <v>61.698</v>
      </c>
      <c r="N44" s="70">
        <f t="shared" si="54"/>
        <v>64.677999999999997</v>
      </c>
      <c r="O44" s="70">
        <f t="shared" si="54"/>
        <v>70.563999999999993</v>
      </c>
      <c r="P44" s="70">
        <f t="shared" si="54"/>
        <v>80.432000000000002</v>
      </c>
      <c r="Q44" s="70">
        <f t="shared" si="54"/>
        <v>78.73</v>
      </c>
      <c r="R44" s="80">
        <f>R23</f>
        <v>93.271943702139424</v>
      </c>
      <c r="S44" s="81">
        <f t="shared" ref="S44:V44" si="55">S23</f>
        <v>100.25190666308811</v>
      </c>
      <c r="T44" s="81">
        <f t="shared" si="55"/>
        <v>107.75421193837519</v>
      </c>
      <c r="U44" s="81">
        <f t="shared" si="55"/>
        <v>115.81794877458763</v>
      </c>
      <c r="V44" s="81">
        <f t="shared" si="55"/>
        <v>124.48513164408253</v>
      </c>
    </row>
    <row r="45" spans="2:22" x14ac:dyDescent="0.25">
      <c r="B45" s="38" t="s">
        <v>89</v>
      </c>
      <c r="D45" s="39">
        <f>D24</f>
        <v>2.3991191240811449E-2</v>
      </c>
      <c r="E45" s="39">
        <f t="shared" ref="E45:Q45" si="56">E24</f>
        <v>2.0299905658815936E-2</v>
      </c>
      <c r="F45" s="39">
        <f t="shared" si="56"/>
        <v>1.8298104398214977E-2</v>
      </c>
      <c r="G45" s="39">
        <f t="shared" si="56"/>
        <v>2.2501264567851439E-2</v>
      </c>
      <c r="H45" s="39">
        <f t="shared" si="56"/>
        <v>1.7687600258125658E-2</v>
      </c>
      <c r="I45" s="39">
        <f t="shared" si="56"/>
        <v>2.0831233107286316E-2</v>
      </c>
      <c r="J45" s="39">
        <f t="shared" si="56"/>
        <v>2.0223971905610937E-2</v>
      </c>
      <c r="K45" s="39">
        <f t="shared" si="56"/>
        <v>1.8020502881953938E-2</v>
      </c>
      <c r="L45" s="39">
        <f t="shared" si="56"/>
        <v>1.9851297301737209E-2</v>
      </c>
      <c r="M45" s="39">
        <f t="shared" si="56"/>
        <v>1.7972732412878216E-2</v>
      </c>
      <c r="N45" s="39">
        <f t="shared" si="56"/>
        <v>1.7872903917183002E-2</v>
      </c>
      <c r="O45" s="39">
        <f t="shared" si="56"/>
        <v>1.7137953922987042E-2</v>
      </c>
      <c r="P45" s="39">
        <f t="shared" si="56"/>
        <v>1.8458828289430355E-2</v>
      </c>
      <c r="Q45" s="39">
        <f t="shared" si="56"/>
        <v>1.7541787912141778E-2</v>
      </c>
      <c r="R45" s="66">
        <f>R24</f>
        <v>1.933494841250202E-2</v>
      </c>
      <c r="S45" s="43">
        <f t="shared" ref="S45:V45" si="57">S24</f>
        <v>1.933494841250202E-2</v>
      </c>
      <c r="T45" s="43">
        <f t="shared" si="57"/>
        <v>1.933494841250202E-2</v>
      </c>
      <c r="U45" s="43">
        <f t="shared" si="57"/>
        <v>1.933494841250202E-2</v>
      </c>
      <c r="V45" s="43">
        <f t="shared" si="57"/>
        <v>1.933494841250202E-2</v>
      </c>
    </row>
    <row r="47" spans="2:22" x14ac:dyDescent="0.25">
      <c r="B47" t="s">
        <v>94</v>
      </c>
      <c r="D47" s="70">
        <f>D26</f>
        <v>-19.14</v>
      </c>
      <c r="E47" s="70">
        <f t="shared" ref="E47:Q47" si="58">E26</f>
        <v>-22.684000000000001</v>
      </c>
      <c r="F47" s="70">
        <f t="shared" si="58"/>
        <v>-18.318000000000001</v>
      </c>
      <c r="G47" s="70">
        <f t="shared" si="58"/>
        <v>-26.279</v>
      </c>
      <c r="H47" s="70">
        <f t="shared" si="58"/>
        <v>-40.387</v>
      </c>
      <c r="I47" s="70">
        <f t="shared" si="58"/>
        <v>-60.933</v>
      </c>
      <c r="J47" s="70">
        <f t="shared" si="58"/>
        <v>-50.558</v>
      </c>
      <c r="K47" s="70">
        <f t="shared" si="58"/>
        <v>-53.619</v>
      </c>
      <c r="L47" s="70">
        <f t="shared" si="58"/>
        <v>-83.176000000000002</v>
      </c>
      <c r="M47" s="70">
        <f t="shared" si="58"/>
        <v>-111.521</v>
      </c>
      <c r="N47" s="70">
        <f t="shared" si="58"/>
        <v>-73.307000000000002</v>
      </c>
      <c r="O47" s="70">
        <f t="shared" si="58"/>
        <v>-88.593999999999994</v>
      </c>
      <c r="P47" s="70">
        <f t="shared" si="58"/>
        <v>-94.156000000000006</v>
      </c>
      <c r="Q47" s="70">
        <f t="shared" si="58"/>
        <v>-94.028000000000006</v>
      </c>
      <c r="R47" s="80">
        <f>R26</f>
        <v>-103.00428423424916</v>
      </c>
      <c r="S47" s="81">
        <f t="shared" ref="S47:V47" si="59">S26</f>
        <v>-110.71256241777326</v>
      </c>
      <c r="T47" s="81">
        <f t="shared" si="59"/>
        <v>-118.99768604997277</v>
      </c>
      <c r="U47" s="81">
        <f t="shared" si="59"/>
        <v>-127.90282309439741</v>
      </c>
      <c r="V47" s="81">
        <f t="shared" si="59"/>
        <v>-137.47437196927294</v>
      </c>
    </row>
    <row r="48" spans="2:22" x14ac:dyDescent="0.25">
      <c r="B48" s="38" t="s">
        <v>89</v>
      </c>
      <c r="D48" s="39">
        <f>D27</f>
        <v>-1.3631925199617964E-2</v>
      </c>
      <c r="E48" s="39">
        <f t="shared" ref="E48:Q48" si="60">E27</f>
        <v>-1.4440185015666239E-2</v>
      </c>
      <c r="F48" s="39">
        <f t="shared" si="60"/>
        <v>-1.108708244133706E-2</v>
      </c>
      <c r="G48" s="39">
        <f t="shared" si="60"/>
        <v>-1.5656809690432597E-2</v>
      </c>
      <c r="H48" s="39">
        <f t="shared" si="60"/>
        <v>-2.2409546432378236E-2</v>
      </c>
      <c r="I48" s="39">
        <f t="shared" si="60"/>
        <v>-3.0560734023361031E-2</v>
      </c>
      <c r="J48" s="39">
        <f t="shared" si="60"/>
        <v>-2.2809547183703524E-2</v>
      </c>
      <c r="K48" s="39">
        <f t="shared" si="60"/>
        <v>-2.168502500173904E-2</v>
      </c>
      <c r="L48" s="39">
        <f t="shared" si="60"/>
        <v>-2.9833797169921298E-2</v>
      </c>
      <c r="M48" s="39">
        <f t="shared" si="60"/>
        <v>-3.2486257113951693E-2</v>
      </c>
      <c r="N48" s="39">
        <f t="shared" si="60"/>
        <v>-2.025741314599917E-2</v>
      </c>
      <c r="O48" s="39">
        <f t="shared" si="60"/>
        <v>-2.1516919248527774E-2</v>
      </c>
      <c r="P48" s="39">
        <f t="shared" si="60"/>
        <v>-2.1608432420176106E-2</v>
      </c>
      <c r="Q48" s="39">
        <f t="shared" si="60"/>
        <v>-2.0950326861461539E-2</v>
      </c>
      <c r="R48" s="66">
        <f>R27</f>
        <v>-2.1352428639162375E-2</v>
      </c>
      <c r="S48" s="43">
        <f t="shared" ref="S48:V48" si="61">S27</f>
        <v>-2.1352428639162375E-2</v>
      </c>
      <c r="T48" s="43">
        <f t="shared" si="61"/>
        <v>-2.1352428639162375E-2</v>
      </c>
      <c r="U48" s="43">
        <f t="shared" si="61"/>
        <v>-2.1352428639162375E-2</v>
      </c>
      <c r="V48" s="43">
        <f t="shared" si="61"/>
        <v>-2.1352428639162375E-2</v>
      </c>
    </row>
    <row r="50" spans="2:22" x14ac:dyDescent="0.25">
      <c r="B50" t="s">
        <v>95</v>
      </c>
      <c r="E50" s="70">
        <f>E29</f>
        <v>59.667000000000002</v>
      </c>
      <c r="F50" s="70">
        <f t="shared" ref="F50:Q50" si="62">F29</f>
        <v>10.756</v>
      </c>
      <c r="G50" s="70">
        <f t="shared" si="62"/>
        <v>-52.899000000000001</v>
      </c>
      <c r="H50" s="70">
        <f t="shared" si="62"/>
        <v>20.160000000000025</v>
      </c>
      <c r="I50" s="70">
        <f t="shared" si="62"/>
        <v>65.823999999999955</v>
      </c>
      <c r="J50" s="70">
        <f t="shared" si="62"/>
        <v>63.900999999999954</v>
      </c>
      <c r="K50" s="70">
        <f t="shared" si="62"/>
        <v>-134.47899999999993</v>
      </c>
      <c r="L50" s="70">
        <f t="shared" si="62"/>
        <v>89.319999999999936</v>
      </c>
      <c r="M50" s="70">
        <f t="shared" si="62"/>
        <v>5.7130000000000791</v>
      </c>
      <c r="N50" s="70">
        <f t="shared" si="62"/>
        <v>146.57799999999992</v>
      </c>
      <c r="O50" s="70">
        <f t="shared" si="62"/>
        <v>64.779000000000053</v>
      </c>
      <c r="P50" s="70">
        <f t="shared" si="62"/>
        <v>-128.76600000000002</v>
      </c>
      <c r="Q50" s="70">
        <f t="shared" si="62"/>
        <v>-269.79899999999998</v>
      </c>
      <c r="R50" s="80">
        <f>R29</f>
        <v>11.834749272075838</v>
      </c>
      <c r="S50" s="81">
        <f t="shared" ref="S50:V50" si="63">S29</f>
        <v>12.720397284676533</v>
      </c>
      <c r="T50" s="81">
        <f t="shared" si="63"/>
        <v>13.672322358513695</v>
      </c>
      <c r="U50" s="81">
        <f t="shared" si="63"/>
        <v>14.695484306948433</v>
      </c>
      <c r="V50" s="81">
        <f t="shared" si="63"/>
        <v>15.795214108691056</v>
      </c>
    </row>
    <row r="51" spans="2:22" x14ac:dyDescent="0.25">
      <c r="B51" s="38" t="s">
        <v>89</v>
      </c>
      <c r="E51" s="72">
        <f>E30</f>
        <v>3.7982830159132314E-2</v>
      </c>
      <c r="F51" s="72">
        <f t="shared" ref="F51:Q51" si="64">F30</f>
        <v>6.5101353171209417E-3</v>
      </c>
      <c r="G51" s="72">
        <f t="shared" si="64"/>
        <v>-3.1516784345454317E-2</v>
      </c>
      <c r="H51" s="72">
        <f t="shared" si="64"/>
        <v>1.1186185061449125E-2</v>
      </c>
      <c r="I51" s="72">
        <f t="shared" si="64"/>
        <v>3.3013798046275668E-2</v>
      </c>
      <c r="J51" s="72">
        <f t="shared" si="64"/>
        <v>2.8829322255347085E-2</v>
      </c>
      <c r="K51" s="72">
        <f t="shared" si="64"/>
        <v>-5.4387073186908795E-2</v>
      </c>
      <c r="L51" s="72">
        <f t="shared" si="64"/>
        <v>3.2037544041759264E-2</v>
      </c>
      <c r="M51" s="72">
        <f t="shared" si="64"/>
        <v>1.664206623792905E-3</v>
      </c>
      <c r="N51" s="72">
        <f t="shared" si="64"/>
        <v>4.0504878171446997E-2</v>
      </c>
      <c r="O51" s="72">
        <f t="shared" si="64"/>
        <v>1.573294480439287E-2</v>
      </c>
      <c r="P51" s="72">
        <f t="shared" si="64"/>
        <v>-2.9551291569484647E-2</v>
      </c>
      <c r="Q51" s="72">
        <f t="shared" si="64"/>
        <v>-6.0113766504609915E-2</v>
      </c>
      <c r="R51" s="67">
        <f>R30</f>
        <v>2.4533022210968839E-3</v>
      </c>
      <c r="S51" s="44">
        <f t="shared" ref="S51:V51" si="65">S30</f>
        <v>2.4533022210968839E-3</v>
      </c>
      <c r="T51" s="44">
        <f t="shared" si="65"/>
        <v>2.4533022210968839E-3</v>
      </c>
      <c r="U51" s="44">
        <f t="shared" si="65"/>
        <v>2.4533022210968839E-3</v>
      </c>
      <c r="V51" s="44">
        <f t="shared" si="65"/>
        <v>2.4533022210968839E-3</v>
      </c>
    </row>
    <row r="53" spans="2:22" x14ac:dyDescent="0.25">
      <c r="B53" s="40" t="s">
        <v>99</v>
      </c>
      <c r="C53" s="41"/>
      <c r="D53" s="41"/>
      <c r="E53" s="71">
        <f>E42+E44-E47-E50</f>
        <v>171.58</v>
      </c>
      <c r="F53" s="71">
        <f t="shared" ref="F53:V53" si="66">F42+F44-F47-F50</f>
        <v>234.494</v>
      </c>
      <c r="G53" s="71">
        <f t="shared" si="66"/>
        <v>330.48099999999999</v>
      </c>
      <c r="H53" s="71">
        <f t="shared" si="66"/>
        <v>283.80099999999993</v>
      </c>
      <c r="I53" s="71">
        <f t="shared" si="66"/>
        <v>285.96800000000002</v>
      </c>
      <c r="J53" s="71">
        <f t="shared" si="66"/>
        <v>323.49700000000007</v>
      </c>
      <c r="K53" s="71">
        <f t="shared" si="66"/>
        <v>556.71799999999996</v>
      </c>
      <c r="L53" s="71">
        <f t="shared" si="66"/>
        <v>448.18500000000006</v>
      </c>
      <c r="M53" s="71">
        <f t="shared" si="66"/>
        <v>672.48899999999981</v>
      </c>
      <c r="N53" s="71">
        <f t="shared" si="66"/>
        <v>538.88600000000019</v>
      </c>
      <c r="O53" s="71">
        <f t="shared" si="66"/>
        <v>756.1869999999999</v>
      </c>
      <c r="P53" s="71">
        <f t="shared" si="66"/>
        <v>968.52400000000011</v>
      </c>
      <c r="Q53" s="71">
        <f t="shared" si="66"/>
        <v>1090.347</v>
      </c>
      <c r="R53" s="82">
        <f t="shared" si="66"/>
        <v>827.82645355156239</v>
      </c>
      <c r="S53" s="71">
        <f t="shared" si="66"/>
        <v>889.77646503986011</v>
      </c>
      <c r="T53" s="71">
        <f t="shared" si="66"/>
        <v>956.36247711370982</v>
      </c>
      <c r="U53" s="71">
        <f t="shared" si="66"/>
        <v>1027.9314227423376</v>
      </c>
      <c r="V53" s="71">
        <f t="shared" si="66"/>
        <v>1104.8561974639804</v>
      </c>
    </row>
    <row r="54" spans="2:22" x14ac:dyDescent="0.25">
      <c r="B54" s="40" t="s">
        <v>100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84">
        <f>R53/(1+WACC!D22)^DCF!R11</f>
        <v>789.2937298024566</v>
      </c>
      <c r="S54" s="12">
        <f>S53/(1+WACC!D22)^DCF!S11</f>
        <v>808.87165917665834</v>
      </c>
      <c r="T54" s="12">
        <f>T53/(1+WACC!D22)^DCF!T11</f>
        <v>828.93520664727805</v>
      </c>
      <c r="U54" s="12">
        <f>U53/(1+WACC!D22)^DCF!U11</f>
        <v>849.4964176625889</v>
      </c>
      <c r="V54" s="12">
        <f>V53/(1+WACC!D22)^DCF!V11</f>
        <v>870.56763645055287</v>
      </c>
    </row>
    <row r="55" spans="2:22" x14ac:dyDescent="0.25">
      <c r="R55" s="68"/>
    </row>
    <row r="56" spans="2:22" x14ac:dyDescent="0.25">
      <c r="B56" t="s">
        <v>101</v>
      </c>
      <c r="R56" s="68"/>
      <c r="V56" s="85">
        <f>V53*(1+D10)/(D9-D10)</f>
        <v>60470.114527922735</v>
      </c>
    </row>
    <row r="57" spans="2:22" x14ac:dyDescent="0.25">
      <c r="B57" s="5" t="s">
        <v>102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9"/>
      <c r="S57" s="5"/>
      <c r="T57" s="5"/>
      <c r="U57" s="5"/>
      <c r="V57" s="86">
        <f>V56/(1+D9)^V11</f>
        <v>47647.218526087119</v>
      </c>
    </row>
    <row r="58" spans="2:22" x14ac:dyDescent="0.25">
      <c r="B58" s="1" t="s">
        <v>103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69"/>
      <c r="S58" s="1"/>
      <c r="T58" s="1"/>
      <c r="U58" s="1"/>
      <c r="V58" s="45"/>
    </row>
    <row r="59" spans="2:22" x14ac:dyDescent="0.25">
      <c r="B59" s="46" t="s">
        <v>104</v>
      </c>
      <c r="V59" s="47">
        <f>'Balance Sheet'!N5</f>
        <v>328.73899999999998</v>
      </c>
    </row>
    <row r="60" spans="2:22" x14ac:dyDescent="0.25">
      <c r="B60" s="48" t="s">
        <v>105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9"/>
      <c r="S60" s="5"/>
      <c r="T60" s="5"/>
      <c r="U60" s="5"/>
      <c r="V60" s="49">
        <f>'Balance Sheet'!O18</f>
        <v>4938.3</v>
      </c>
    </row>
    <row r="61" spans="2:22" x14ac:dyDescent="0.25">
      <c r="B61" s="1" t="s">
        <v>106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69"/>
      <c r="S61" s="1"/>
      <c r="T61" s="1"/>
      <c r="U61" s="1"/>
      <c r="V61" s="85">
        <f>V57+V59-V60</f>
        <v>43037.657526087118</v>
      </c>
    </row>
    <row r="62" spans="2:22" x14ac:dyDescent="0.25">
      <c r="B62" s="5" t="s">
        <v>107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9"/>
      <c r="S62" s="5"/>
      <c r="T62" s="5"/>
      <c r="U62" s="5"/>
      <c r="V62" s="50">
        <v>36</v>
      </c>
    </row>
    <row r="63" spans="2:22" x14ac:dyDescent="0.25">
      <c r="B63" s="1" t="s">
        <v>122</v>
      </c>
      <c r="V63" s="87">
        <f>V61/V62</f>
        <v>1195.4904868357532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F0368-2A55-41C4-9A52-97345E2CFF20}">
  <dimension ref="B2:D22"/>
  <sheetViews>
    <sheetView workbookViewId="0">
      <selection activeCell="D22" sqref="D22"/>
    </sheetView>
  </sheetViews>
  <sheetFormatPr defaultRowHeight="15" x14ac:dyDescent="0.25"/>
  <cols>
    <col min="2" max="2" width="23.5703125" customWidth="1"/>
    <col min="4" max="4" width="11.5703125" bestFit="1" customWidth="1"/>
  </cols>
  <sheetData>
    <row r="2" spans="2:4" ht="21" x14ac:dyDescent="0.35">
      <c r="B2" s="23" t="s">
        <v>85</v>
      </c>
      <c r="C2" s="5"/>
      <c r="D2" s="5"/>
    </row>
    <row r="4" spans="2:4" x14ac:dyDescent="0.25">
      <c r="B4" s="29" t="s">
        <v>85</v>
      </c>
      <c r="C4" s="30"/>
      <c r="D4" s="30"/>
    </row>
    <row r="5" spans="2:4" x14ac:dyDescent="0.25">
      <c r="B5" s="1" t="s">
        <v>108</v>
      </c>
    </row>
    <row r="6" spans="2:4" x14ac:dyDescent="0.25">
      <c r="B6" s="1" t="s">
        <v>109</v>
      </c>
    </row>
    <row r="8" spans="2:4" x14ac:dyDescent="0.25">
      <c r="B8" t="s">
        <v>110</v>
      </c>
      <c r="D8" s="20">
        <f>'Balance Sheet'!O18</f>
        <v>4938.3</v>
      </c>
    </row>
    <row r="9" spans="2:4" x14ac:dyDescent="0.25">
      <c r="B9" t="s">
        <v>111</v>
      </c>
      <c r="D9" s="51">
        <f>D8/(D8+D13)</f>
        <v>0.2858093678197508</v>
      </c>
    </row>
    <row r="10" spans="2:4" x14ac:dyDescent="0.25">
      <c r="B10" t="s">
        <v>112</v>
      </c>
      <c r="D10" s="52">
        <v>0.02</v>
      </c>
    </row>
    <row r="11" spans="2:4" x14ac:dyDescent="0.25">
      <c r="B11" t="s">
        <v>113</v>
      </c>
      <c r="D11" s="52">
        <v>0.184</v>
      </c>
    </row>
    <row r="13" spans="2:4" x14ac:dyDescent="0.25">
      <c r="B13" t="s">
        <v>106</v>
      </c>
      <c r="D13" s="20">
        <v>12340</v>
      </c>
    </row>
    <row r="14" spans="2:4" x14ac:dyDescent="0.25">
      <c r="B14" t="s">
        <v>114</v>
      </c>
      <c r="D14" s="83">
        <f>1-D9</f>
        <v>0.71419063218024914</v>
      </c>
    </row>
    <row r="15" spans="2:4" x14ac:dyDescent="0.25">
      <c r="B15" t="s">
        <v>115</v>
      </c>
      <c r="D15" s="39">
        <f>D16+D17*D18</f>
        <v>6.1825000000000005E-2</v>
      </c>
    </row>
    <row r="16" spans="2:4" x14ac:dyDescent="0.25">
      <c r="B16" t="s">
        <v>116</v>
      </c>
      <c r="D16" s="52">
        <v>3.8800000000000001E-2</v>
      </c>
    </row>
    <row r="17" spans="2:4" x14ac:dyDescent="0.25">
      <c r="B17" t="s">
        <v>117</v>
      </c>
      <c r="D17" s="53">
        <v>0.75</v>
      </c>
    </row>
    <row r="18" spans="2:4" x14ac:dyDescent="0.25">
      <c r="B18" t="s">
        <v>118</v>
      </c>
      <c r="D18" s="52">
        <v>3.0700000000000002E-2</v>
      </c>
    </row>
    <row r="20" spans="2:4" x14ac:dyDescent="0.25">
      <c r="B20" t="s">
        <v>119</v>
      </c>
      <c r="D20" s="42"/>
    </row>
    <row r="22" spans="2:4" x14ac:dyDescent="0.25">
      <c r="B22" s="54" t="s">
        <v>85</v>
      </c>
      <c r="C22" s="55"/>
      <c r="D22" s="56">
        <f>(D14*D15)+(D9*D10*(1-D11))</f>
        <v>4.8819244717362244E-2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562-5998-4637-A842-3368DA49B9AA}">
  <dimension ref="B2:G11"/>
  <sheetViews>
    <sheetView workbookViewId="0">
      <selection activeCell="E32" sqref="E32"/>
    </sheetView>
  </sheetViews>
  <sheetFormatPr defaultRowHeight="15" x14ac:dyDescent="0.25"/>
  <cols>
    <col min="2" max="2" width="28.42578125" bestFit="1" customWidth="1"/>
    <col min="5" max="5" width="19.140625" bestFit="1" customWidth="1"/>
  </cols>
  <sheetData>
    <row r="2" spans="2:7" x14ac:dyDescent="0.25">
      <c r="B2" t="s">
        <v>123</v>
      </c>
    </row>
    <row r="3" spans="2:7" ht="30" x14ac:dyDescent="0.25">
      <c r="B3" s="99" t="s">
        <v>135</v>
      </c>
      <c r="C3" s="99" t="s">
        <v>133</v>
      </c>
      <c r="D3" s="99" t="s">
        <v>134</v>
      </c>
      <c r="E3" s="99" t="s">
        <v>132</v>
      </c>
      <c r="F3" s="98"/>
      <c r="G3" s="98"/>
    </row>
    <row r="4" spans="2:7" x14ac:dyDescent="0.25">
      <c r="B4" t="s">
        <v>124</v>
      </c>
      <c r="C4" s="100">
        <v>9.9</v>
      </c>
      <c r="D4" s="100">
        <v>14.2</v>
      </c>
      <c r="E4" s="100">
        <f>ABS(D4-C4)</f>
        <v>4.2999999999999989</v>
      </c>
    </row>
    <row r="5" spans="2:7" x14ac:dyDescent="0.25">
      <c r="B5" t="s">
        <v>125</v>
      </c>
      <c r="C5" s="100">
        <v>14.8</v>
      </c>
      <c r="D5" s="100">
        <v>11.9</v>
      </c>
      <c r="E5" s="100">
        <f t="shared" ref="E5:E10" si="0">ABS(D5-C5)</f>
        <v>2.9000000000000004</v>
      </c>
    </row>
    <row r="6" spans="2:7" x14ac:dyDescent="0.25">
      <c r="B6" t="s">
        <v>126</v>
      </c>
      <c r="C6" s="100">
        <v>7.9</v>
      </c>
      <c r="D6" s="100">
        <v>7.9</v>
      </c>
      <c r="E6" s="100">
        <f t="shared" si="0"/>
        <v>0</v>
      </c>
    </row>
    <row r="7" spans="2:7" x14ac:dyDescent="0.25">
      <c r="B7" t="s">
        <v>127</v>
      </c>
      <c r="C7" s="100">
        <v>6.4</v>
      </c>
      <c r="D7" s="100">
        <v>5.9</v>
      </c>
      <c r="E7" s="100">
        <f t="shared" si="0"/>
        <v>0.5</v>
      </c>
    </row>
    <row r="8" spans="2:7" x14ac:dyDescent="0.25">
      <c r="B8" t="s">
        <v>128</v>
      </c>
      <c r="C8" s="100">
        <v>20.100000000000001</v>
      </c>
      <c r="D8" s="100">
        <v>20.100000000000001</v>
      </c>
      <c r="E8" s="100">
        <f t="shared" si="0"/>
        <v>0</v>
      </c>
    </row>
    <row r="9" spans="2:7" x14ac:dyDescent="0.25">
      <c r="B9" t="s">
        <v>129</v>
      </c>
      <c r="C9" s="100">
        <v>40.9</v>
      </c>
      <c r="D9" s="100">
        <v>40</v>
      </c>
      <c r="E9" s="100">
        <f t="shared" si="0"/>
        <v>0.89999999999999858</v>
      </c>
    </row>
    <row r="10" spans="2:7" x14ac:dyDescent="0.25">
      <c r="B10" t="s">
        <v>130</v>
      </c>
      <c r="C10" s="100">
        <v>100</v>
      </c>
      <c r="D10" s="100">
        <v>100</v>
      </c>
      <c r="E10" s="100"/>
    </row>
    <row r="11" spans="2:7" x14ac:dyDescent="0.25">
      <c r="B11" t="s">
        <v>131</v>
      </c>
      <c r="E11" s="97">
        <f>AVERAGE(E4:E9)</f>
        <v>1.4333333333333329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Z I 6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j Z I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2 S O l Y o i k e 4 D g A A A B E A A A A T A B w A R m 9 y b X V s Y X M v U 2 V j d G l v b j E u b S C i G A A o o B Q A A A A A A A A A A A A A A A A A A A A A A A A A A A A r T k 0 u y c z P U w i G 0 I b W A F B L A Q I t A B Q A A g A I A I 2 S O l a N m H I o p A A A A P Y A A A A S A A A A A A A A A A A A A A A A A A A A A A B D b 2 5 m a W c v U G F j a 2 F n Z S 5 4 b W x Q S w E C L Q A U A A I A C A C N k j p W D 8 r p q 6 Q A A A D p A A A A E w A A A A A A A A A A A A A A A A D w A A A A W 0 N v b n R l b n R f V H l w Z X N d L n h t b F B L A Q I t A B Q A A g A I A I 2 S O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U 2 2 Y p N h V S Z S B h K N z A V M 5 A A A A A A I A A A A A A B B m A A A A A Q A A I A A A A B p m c z 6 3 R P g n W O 8 P J C G 8 3 N / w c x w f h 6 a O O E i Q 1 Y m q u C j H A A A A A A 6 A A A A A A g A A I A A A A K S g h H e L G d r W Q j Y O i + 7 J P t R B G C w s T j C n 2 F c O k Q N J g t g W U A A A A D g X C r 5 o G t T y J I H k w h x / z B c f Z 1 v w A l 5 K 6 h h r r G Q v F a X b r R h Q y S P f O m D 9 d A J 1 l x N m 1 m y d Z 3 v p V m + p B T 8 r 0 e M a n T z 7 B B 7 C h r z O s 1 S t N g 0 P O h c w Q A A A A N e G W 5 k 2 j D O j V j 6 Z F m Z o u 4 L 2 m R c U w / S k 4 Y g j d K B R / 3 5 2 u 7 s s V B t / r S + a f D E 9 r N M c 2 p x u V J H w I a b I N J e 1 u m Y N k p 0 = < / D a t a M a s h u p > 
</file>

<file path=customXml/itemProps1.xml><?xml version="1.0" encoding="utf-8"?>
<ds:datastoreItem xmlns:ds="http://schemas.openxmlformats.org/officeDocument/2006/customXml" ds:itemID="{497E5EDE-37EA-4AB8-9E37-64AE0218FD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Balance Sheet</vt:lpstr>
      <vt:lpstr>Cash Flow Statement</vt:lpstr>
      <vt:lpstr>DCF</vt:lpstr>
      <vt:lpstr>WACC</vt:lpstr>
      <vt:lpstr>Market 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 Varfolomeev</cp:lastModifiedBy>
  <dcterms:created xsi:type="dcterms:W3CDTF">2015-06-05T18:17:20Z</dcterms:created>
  <dcterms:modified xsi:type="dcterms:W3CDTF">2023-02-02T03:33:24Z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2023-01-26T23:54:51Z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891f8d63-1a99-44de-8243-af09b3efc9c7</vt:lpwstr>
  </property>
  <property fmtid="{D5CDD505-2E9C-101B-9397-08002B2CF9AE}" pid="8" name="MSIP_Label_4044bd30-2ed7-4c9d-9d12-46200872a97b_ContentBits">
    <vt:lpwstr>0</vt:lpwstr>
  </property>
</Properties>
</file>