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cooperterrill/Desktop/MIPCel/"/>
    </mc:Choice>
  </mc:AlternateContent>
  <xr:revisionPtr revIDLastSave="0" documentId="13_ncr:1_{ACDBDA36-B2BD-E34F-88B0-FB285EDC6FC5}" xr6:coauthVersionLast="47" xr6:coauthVersionMax="47" xr10:uidLastSave="{00000000-0000-0000-0000-000000000000}"/>
  <bookViews>
    <workbookView xWindow="17100" yWindow="780" windowWidth="17100" windowHeight="19300" activeTab="1" xr2:uid="{95E4A03E-3FED-BF42-ACD2-5D2E65B33E92}"/>
  </bookViews>
  <sheets>
    <sheet name="Sheet1" sheetId="1" r:id="rId1"/>
    <sheet name="CPU" sheetId="2" r:id="rId2"/>
  </sheets>
  <definedNames>
    <definedName name="_a0">CPU!$D$160</definedName>
    <definedName name="_a1">CPU!$E$160</definedName>
    <definedName name="_a2">CPU!$F$160</definedName>
    <definedName name="_a3">CPU!$G$160</definedName>
    <definedName name="_fp">CPU!$F$166</definedName>
    <definedName name="_gp">CPU!$D$166</definedName>
    <definedName name="_pc">CPU!$H$166</definedName>
    <definedName name="_ra">CPU!$G$166</definedName>
    <definedName name="_s0">CPU!$B$164</definedName>
    <definedName name="_s1">CPU!$C$164</definedName>
    <definedName name="_s2">CPU!$D$164</definedName>
    <definedName name="_s3">CPU!$E$164</definedName>
    <definedName name="_s4">CPU!$F$164</definedName>
    <definedName name="_s5">CPU!$G$164</definedName>
    <definedName name="_s6">CPU!$H$164</definedName>
    <definedName name="_s7">CPU!$A$166</definedName>
    <definedName name="_sp">CPU!$E$166</definedName>
    <definedName name="_t0">CPU!$H$160</definedName>
    <definedName name="_t1">CPU!$A$162</definedName>
    <definedName name="_t2">CPU!$B$162</definedName>
    <definedName name="_t3">CPU!$C$162</definedName>
    <definedName name="_t4">CPU!$D$162</definedName>
    <definedName name="_t5">CPU!$E$162</definedName>
    <definedName name="_t6">CPU!$F$162</definedName>
    <definedName name="_t7">CPU!$G$162</definedName>
    <definedName name="_t8">CPU!$B$166</definedName>
    <definedName name="_t9">CPU!$C$166</definedName>
    <definedName name="_v0">CPU!$B$160</definedName>
    <definedName name="_v1">CPU!$C$160</definedName>
    <definedName name="_zero">CPU!$A$160</definedName>
    <definedName name="ADD">CPU!$B$150</definedName>
    <definedName name="ADDI">CPU!$K$150</definedName>
    <definedName name="ALU">CPU!$C$153</definedName>
    <definedName name="AND">CPU!$F$150</definedName>
    <definedName name="ANDI">CPU!$L$150</definedName>
    <definedName name="BEQ">CPU!$P$150</definedName>
    <definedName name="BNE">CPU!$Q$150</definedName>
    <definedName name="CLK">Sheet1!$A$1</definedName>
    <definedName name="CLR">Sheet1!$B$1</definedName>
    <definedName name="DIV">CPU!$E$150</definedName>
    <definedName name="FNCT">CPU!$D$136</definedName>
    <definedName name="IFMT">CPU!$E$134</definedName>
    <definedName name="IMMD">CPU!$F$136</definedName>
    <definedName name="INSTR">CPU!$A$133</definedName>
    <definedName name="J">CPU!$O$150</definedName>
    <definedName name="JBITS">CPU!$H$136</definedName>
    <definedName name="JFMT">CPU!$G$134</definedName>
    <definedName name="LW">CPU!$R$150</definedName>
    <definedName name="LWBASE">CPU!$F$142</definedName>
    <definedName name="LWBASEADDR">CPU!$F$143</definedName>
    <definedName name="MULT">CPU!$D$150</definedName>
    <definedName name="OP">CPU!$B$133</definedName>
    <definedName name="OR">CPU!$G$150</definedName>
    <definedName name="ORI">CPU!$M$150</definedName>
    <definedName name="OVRD?">CPU!$D$131</definedName>
    <definedName name="OVRDVAL">CPU!$F$131</definedName>
    <definedName name="PCADDR">CPU!$A$131</definedName>
    <definedName name="PCVAL">CPU!$B$131</definedName>
    <definedName name="RD">CPU!$D$138</definedName>
    <definedName name="RDADDR">CPU!$D$142</definedName>
    <definedName name="REGWRITE">CPU!$G$146</definedName>
    <definedName name="REGWRITEADDR">CPU!$G$147</definedName>
    <definedName name="RFMT">CPU!$C$134</definedName>
    <definedName name="RS">CPU!$D$140</definedName>
    <definedName name="RSADDR">CPU!$D$144</definedName>
    <definedName name="RSVAL">CPU!$D$147</definedName>
    <definedName name="RT">CPU!$D$139</definedName>
    <definedName name="RTADDR">CPU!$D$143</definedName>
    <definedName name="RTVAL">CPU!$D$146</definedName>
    <definedName name="SHMT">CPU!$D$137</definedName>
    <definedName name="SLL">CPU!$I$150</definedName>
    <definedName name="SRL">CPU!$J$150</definedName>
    <definedName name="SUB">CPU!$C$150</definedName>
    <definedName name="SW">CPU!$S$150</definedName>
    <definedName name="XOR">CPU!$H$150</definedName>
    <definedName name="XORI">CPU!$N$150</definedName>
  </definedNames>
  <calcPr calcId="191029" calcMode="manual" refMode="R1C1" iterate="1" iterateDelta="1E+16" calcCompleted="0" calcOnSave="0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6" i="1" l="1"/>
  <c r="M46" i="1"/>
  <c r="O46" i="1" s="1" a="1"/>
  <c r="I46" i="1" a="1"/>
  <c r="I46" i="1" l="1"/>
  <c r="O46" i="1"/>
  <c r="A131" i="2"/>
  <c r="B131" i="2" a="1"/>
  <c r="B131" i="2"/>
  <c r="A133" i="2"/>
  <c r="B133" i="2"/>
  <c r="C134" i="2"/>
  <c r="E134" i="2"/>
  <c r="G134" i="2"/>
  <c r="D136" i="2"/>
  <c r="F136" i="2"/>
  <c r="H136" i="2"/>
  <c r="D137" i="2"/>
  <c r="D138" i="2"/>
  <c r="D139" i="2"/>
  <c r="D140" i="2"/>
  <c r="D142" i="2"/>
  <c r="F142" i="2"/>
  <c r="D143" i="2"/>
  <c r="F143" i="2"/>
  <c r="D144" i="2"/>
  <c r="D146" i="2" a="1"/>
  <c r="D146" i="2"/>
  <c r="G146" i="2"/>
  <c r="D147" i="2" a="1"/>
  <c r="D147" i="2"/>
  <c r="G147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 a="1"/>
  <c r="R150" i="2"/>
  <c r="S150" i="2"/>
  <c r="C153" i="2" a="1"/>
  <c r="C153" i="2"/>
  <c r="J158" i="2"/>
  <c r="B160" i="2"/>
  <c r="C160" i="2"/>
  <c r="D160" i="2"/>
  <c r="E160" i="2"/>
  <c r="F160" i="2"/>
  <c r="G160" i="2"/>
  <c r="H160" i="2"/>
  <c r="A162" i="2"/>
  <c r="B162" i="2"/>
  <c r="C162" i="2"/>
  <c r="D162" i="2"/>
  <c r="E162" i="2"/>
  <c r="F162" i="2"/>
  <c r="G162" i="2"/>
  <c r="H162" i="2"/>
  <c r="A164" i="2"/>
  <c r="B164" i="2"/>
  <c r="C164" i="2"/>
  <c r="D164" i="2"/>
  <c r="E164" i="2"/>
  <c r="F164" i="2"/>
  <c r="G164" i="2"/>
  <c r="H164" i="2"/>
  <c r="A166" i="2"/>
  <c r="B166" i="2"/>
  <c r="C166" i="2"/>
  <c r="D166" i="2"/>
  <c r="E166" i="2"/>
  <c r="F166" i="2"/>
  <c r="G166" i="2"/>
  <c r="H166" i="2"/>
  <c r="A1" i="1"/>
  <c r="T2" i="1"/>
  <c r="A20" i="1"/>
  <c r="M31" i="1"/>
  <c r="L32" i="1"/>
  <c r="M32" i="1"/>
  <c r="N32" i="1"/>
  <c r="M33" i="1"/>
  <c r="A49" i="1"/>
  <c r="B49" i="1" a="1"/>
  <c r="B4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tc={0A142261-3ADA-D24A-85B9-D6D70B5D60C5}</author>
    <author>tc={9C796C1D-7C14-8143-A65D-F6D2F20500E3}</author>
    <author>tc={669385F9-156F-9D40-9551-F4A1471536C0}</author>
    <author>Cooper Terrill</author>
    <author>tc={3AC548F8-62BB-514F-982E-A106C682B9D2}</author>
    <author>tc={A1FA4168-C4C8-4B4D-AF91-307A997A7851}</author>
  </authors>
  <commentList>
    <comment ref="C143" authorId="0" shapeId="0" xr:uid="{0A142261-3ADA-D24A-85B9-D6D70B5D60C5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</t>
      </text>
    </comment>
    <comment ref="E143" authorId="1" shapeId="0" xr:uid="{9C796C1D-7C14-8143-A65D-F6D2F20500E3}">
      <text>
        <t>[Threaded comment]
Your version of Excel allows you to read this threaded comment; however, any edits to it will get removed if the file is opened in a newer version of Excel. Learn more: https://go.microsoft.com/fwlink/?linkid=870924
Comment:
    Might make conditional</t>
      </text>
    </comment>
    <comment ref="C144" authorId="2" shapeId="0" xr:uid="{669385F9-156F-9D40-9551-F4A1471536C0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 can make calculation conditional</t>
      </text>
    </comment>
    <comment ref="E149" authorId="3" shapeId="0" xr:uid="{63B6A2AF-2D52-6542-88CA-BE668670278D}">
      <text>
        <r>
          <rPr>
            <b/>
            <sz val="10"/>
            <color rgb="FF000000"/>
            <rFont val="Tahoma"/>
            <family val="2"/>
          </rPr>
          <t>Cooper Terrill: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NOT THE SAME AS MIPS - DOES NOT LOAD INTO 2 REGISTERS
</t>
        </r>
      </text>
    </comment>
    <comment ref="P149" authorId="4" shapeId="0" xr:uid="{3AC548F8-62BB-514F-982E-A106C682B9D2}">
      <text>
        <t>[Threaded comment]
Your version of Excel allows you to read this threaded comment; however, any edits to it will get removed if the file is opened in a newer version of Excel. Learn more: https://go.microsoft.com/fwlink/?linkid=870924
Comment:
    TODO: MAKE THIS INTERPRET AS A SIGNED NUMBER FOR BACKWARDS BRANCHING</t>
      </text>
    </comment>
    <comment ref="R149" authorId="5" shapeId="0" xr:uid="{A1FA4168-C4C8-4B4D-AF91-307A997A7851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the offset be indexed like this?
Reply:
    Rn it’s value at register pointed to by lwbaseaddr + IMMD. So either can be not word-aligned, but sum MUST be word-aligned so I don’t shit myself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<sst xmlns="http://schemas.openxmlformats.org/spreadsheetml/2006/main" count="108" uniqueCount="102">
  <si>
    <t>SOURCE</t>
  </si>
  <si>
    <t>CLK</t>
  </si>
  <si>
    <t>CLR</t>
  </si>
  <si>
    <t>INSTR</t>
  </si>
  <si>
    <t>OP</t>
  </si>
  <si>
    <t>Format=R</t>
  </si>
  <si>
    <t>Format=I</t>
  </si>
  <si>
    <t>Format=J</t>
  </si>
  <si>
    <t>128x128</t>
  </si>
  <si>
    <t>hi</t>
  </si>
  <si>
    <t>64kb</t>
  </si>
  <si>
    <t>PC ADDR</t>
  </si>
  <si>
    <t>PC VAL</t>
  </si>
  <si>
    <t>yo</t>
  </si>
  <si>
    <t>IDX</t>
  </si>
  <si>
    <t>RAM</t>
  </si>
  <si>
    <t>VAL</t>
  </si>
  <si>
    <t>ADDR</t>
  </si>
  <si>
    <t>READ</t>
  </si>
  <si>
    <t>WRITE</t>
  </si>
  <si>
    <t>SUC?</t>
  </si>
  <si>
    <t>pen</t>
  </si>
  <si>
    <t>RSADDR</t>
  </si>
  <si>
    <t>RTADDR</t>
  </si>
  <si>
    <t>IMMD</t>
  </si>
  <si>
    <t>FNCT</t>
  </si>
  <si>
    <t>SHMT</t>
  </si>
  <si>
    <t>RD</t>
  </si>
  <si>
    <t>RT</t>
  </si>
  <si>
    <t>RS</t>
  </si>
  <si>
    <t>RDADDR</t>
  </si>
  <si>
    <t>ALU</t>
  </si>
  <si>
    <t>0/32</t>
  </si>
  <si>
    <t>RTVAL</t>
  </si>
  <si>
    <t>RSVAL</t>
  </si>
  <si>
    <t>0/34</t>
  </si>
  <si>
    <t>0/24</t>
  </si>
  <si>
    <t>0/26</t>
  </si>
  <si>
    <t>0/36</t>
  </si>
  <si>
    <t>0/37</t>
  </si>
  <si>
    <t>0/38</t>
  </si>
  <si>
    <t>0/0</t>
  </si>
  <si>
    <t>0/2</t>
  </si>
  <si>
    <t>JBITS</t>
  </si>
  <si>
    <t>LWBASE</t>
  </si>
  <si>
    <t>LWBASEADDR</t>
  </si>
  <si>
    <t>ADD</t>
  </si>
  <si>
    <t>SUB</t>
  </si>
  <si>
    <t>MULT</t>
  </si>
  <si>
    <t>AND</t>
  </si>
  <si>
    <t>DIV</t>
  </si>
  <si>
    <t>OR</t>
  </si>
  <si>
    <t>XOR</t>
  </si>
  <si>
    <t>SLL</t>
  </si>
  <si>
    <t>SRL</t>
  </si>
  <si>
    <t>ADDI</t>
  </si>
  <si>
    <t>ORI</t>
  </si>
  <si>
    <t>ANDI</t>
  </si>
  <si>
    <t>XORI</t>
  </si>
  <si>
    <t>J</t>
  </si>
  <si>
    <t>BEQ</t>
  </si>
  <si>
    <t>BNE</t>
  </si>
  <si>
    <t>LW</t>
  </si>
  <si>
    <t>SW</t>
  </si>
  <si>
    <t>case</t>
  </si>
  <si>
    <t>name</t>
  </si>
  <si>
    <t>REGWRITE</t>
  </si>
  <si>
    <t>_zero</t>
  </si>
  <si>
    <t>_v0</t>
  </si>
  <si>
    <t>_v1</t>
  </si>
  <si>
    <t>_a0</t>
  </si>
  <si>
    <t>_a1</t>
  </si>
  <si>
    <t>_a2</t>
  </si>
  <si>
    <t>_a3</t>
  </si>
  <si>
    <t>_t0</t>
  </si>
  <si>
    <t>_t1</t>
  </si>
  <si>
    <t>_t2</t>
  </si>
  <si>
    <t>_t3</t>
  </si>
  <si>
    <t>_t4</t>
  </si>
  <si>
    <t>_t5</t>
  </si>
  <si>
    <t>_t6</t>
  </si>
  <si>
    <t>_t7</t>
  </si>
  <si>
    <t>_t8</t>
  </si>
  <si>
    <t>_t9</t>
  </si>
  <si>
    <t>_s0</t>
  </si>
  <si>
    <t>_s1</t>
  </si>
  <si>
    <t>_s2</t>
  </si>
  <si>
    <t>_s3</t>
  </si>
  <si>
    <t>_s4</t>
  </si>
  <si>
    <t>_s5</t>
  </si>
  <si>
    <t>_s6</t>
  </si>
  <si>
    <t>_s7</t>
  </si>
  <si>
    <t>_gp</t>
  </si>
  <si>
    <t>_sp</t>
  </si>
  <si>
    <t>_fp</t>
  </si>
  <si>
    <t>_ra</t>
  </si>
  <si>
    <t>_pc</t>
  </si>
  <si>
    <t>REGWRITEADDR</t>
  </si>
  <si>
    <t>PCVAL</t>
  </si>
  <si>
    <t>PCADDR</t>
  </si>
  <si>
    <t>OVRD?</t>
  </si>
  <si>
    <t>OVRDVAL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</si>
</sst>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3"/>
      <color rgb="FF0C0D0E"/>
      <name val="Menlo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Aptos Narrow"/>
      <family val="2"/>
      <scheme val="minor"/>
    </font>
    <font>
      <sz val="12"/>
      <name val="Aptos Narrow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4" fillId="0" borderId="0" xfId="0" applyFo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fmlaLink="$D$13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127</xdr:row>
          <xdr:rowOff>114300</xdr:rowOff>
        </xdr:from>
        <xdr:to>
          <xdr:col>6</xdr:col>
          <xdr:colOff>266700</xdr:colOff>
          <xdr:row>129</xdr:row>
          <xdr:rowOff>88900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CD954870-1035-1BCB-CC46-889CB8BF4F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errill, Cooper" id="{91AC9A71-FD55-054C-B785-052ED73AB046}" userId="S::cat3500@utulsa.edu::df038d5c-6e5e-4af2-bfcf-f0778eac0e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43" dT="2024-05-18T05:44:13.32" personId="{91AC9A71-FD55-054C-B785-052ED73AB046}" id="{0A142261-3ADA-D24A-85B9-D6D70B5D60C5}">
    <text>Same</text>
  </threadedComment>
  <threadedComment ref="E143" dT="2024-05-18T05:58:40.63" personId="{91AC9A71-FD55-054C-B785-052ED73AB046}" id="{9C796C1D-7C14-8143-A65D-F6D2F20500E3}">
    <text>Might make conditional</text>
  </threadedComment>
  <threadedComment ref="C144" dT="2024-05-18T05:43:54.18" personId="{91AC9A71-FD55-054C-B785-052ED73AB046}" id="{669385F9-156F-9D40-9551-F4A1471536C0}">
    <text>Maybe can make calculation conditional</text>
  </threadedComment>
  <threadedComment ref="P149" dT="2024-05-18T05:32:13.02" personId="{91AC9A71-FD55-054C-B785-052ED73AB046}" id="{3AC548F8-62BB-514F-982E-A106C682B9D2}">
    <text>TODO: MAKE THIS INTERPRET AS A SIGNED NUMBER FOR BACKWARDS BRANCHING</text>
  </threadedComment>
  <threadedComment ref="R149" dT="2024-05-18T05:40:00.35" personId="{91AC9A71-FD55-054C-B785-052ED73AB046}" id="{A1FA4168-C4C8-4B4D-AF91-307A997A7851}">
    <text>Should the offset be indexed like this?</text>
  </threadedComment>
  <threadedComment ref="R149" dT="2024-05-18T06:01:12.30" personId="{91AC9A71-FD55-054C-B785-052ED73AB046}" id="{CEC310FB-FEE4-CF4E-A788-C2935471B00F}" parentId="{A1FA4168-C4C8-4B4D-AF91-307A997A7851}">
    <text>Rn it’s value at register pointed to by lwbaseaddr + IMMD. So either can be not word-aligned, but sum MUST be word-aligned so I don’t shit myself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37B1-3AE4-EB42-9D14-4ACDB1D87C75}">
  <sheetPr codeName="Sheet1"/>
  <dimension ref="A1:DX178"/>
  <sheetViews>
    <sheetView zoomScale="132" workbookViewId="0">
      <selection activeCell="E11" sqref="E11"/>
    </sheetView>
  </sheetViews>
  <sheetFormatPr baseColWidth="10" defaultColWidth="5.83203125" defaultRowHeight="16"/>
  <cols>
    <col min="1" max="1" width="9" customWidth="1"/>
    <col min="2" max="2" width="7.83203125" bestFit="1" customWidth="1"/>
    <col min="3" max="3" width="8.6640625" customWidth="1"/>
    <col min="4" max="6" width="7.83203125" bestFit="1" customWidth="1"/>
    <col min="7" max="7" width="5.83203125" customWidth="1"/>
    <col min="8" max="9" width="7.83203125" bestFit="1" customWidth="1"/>
    <col min="11" max="11" width="7.83203125" bestFit="1" customWidth="1"/>
    <col min="17" max="17" width="5.83203125" customWidth="1"/>
    <col min="20" max="20" width="7.83203125" bestFit="1" customWidth="1"/>
  </cols>
  <sheetData>
    <row r="1" spans="1:20">
      <c r="A1" s="2">
        <f ca="1">IF($A$1 = 1,0,1)</f>
        <v>0</v>
      </c>
      <c r="B1" s="2">
        <v>0</v>
      </c>
      <c r="T1" t="s">
        <v>1</v>
      </c>
    </row>
    <row r="2" spans="1:20">
      <c r="A2" s="2" t="s">
        <v>1</v>
      </c>
      <c r="B2" s="2" t="s">
        <v>2</v>
      </c>
      <c r="I2" s="3"/>
      <c r="J2" s="3"/>
      <c r="K2" s="3"/>
      <c r="L2" s="3"/>
      <c r="M2" s="3"/>
      <c r="N2" s="3"/>
      <c r="O2" s="3"/>
      <c r="P2" s="3"/>
      <c r="T2">
        <f ca="1">CLK</f>
        <v>0</v>
      </c>
    </row>
    <row r="4" spans="1:20">
      <c r="I4" s="3"/>
      <c r="J4" s="3"/>
      <c r="K4" s="3"/>
      <c r="L4" s="3"/>
      <c r="M4" s="3"/>
      <c r="N4" s="3"/>
      <c r="O4" s="3"/>
      <c r="P4" s="3"/>
    </row>
    <row r="6" spans="1:20">
      <c r="I6" s="3"/>
      <c r="J6" s="3"/>
      <c r="K6" s="3"/>
      <c r="L6" s="3"/>
      <c r="M6" s="3"/>
      <c r="N6" s="3"/>
      <c r="O6" s="3"/>
      <c r="P6" s="3"/>
    </row>
    <row r="8" spans="1:20">
      <c r="I8" s="3"/>
      <c r="J8" s="3"/>
      <c r="K8" s="3"/>
      <c r="L8" s="3"/>
      <c r="M8" s="3"/>
      <c r="N8" s="3"/>
      <c r="O8" s="3"/>
      <c r="P8" s="3"/>
    </row>
    <row r="19" spans="1:14">
      <c r="A19" t="s">
        <v>0</v>
      </c>
    </row>
    <row r="20" spans="1:14">
      <c r="A20">
        <f ca="1">IF(CLR = 1, 0, $A$20 + 1)</f>
        <v>37</v>
      </c>
    </row>
    <row r="31" spans="1:14">
      <c r="M31">
        <f ca="1">$M$32 + 1</f>
        <v>37</v>
      </c>
    </row>
    <row r="32" spans="1:14">
      <c r="L32">
        <f ca="1">$M$32 + 1</f>
        <v>37</v>
      </c>
      <c r="M32">
        <f ca="1">$A$20</f>
        <v>37</v>
      </c>
      <c r="N32">
        <f ca="1">$M$32 + 1</f>
        <v>38</v>
      </c>
    </row>
    <row r="33" spans="1:15">
      <c r="M33">
        <f ca="1">$M$32 + 1</f>
        <v>38</v>
      </c>
    </row>
    <row r="43" spans="1:15">
      <c r="H43" t="s">
        <v>18</v>
      </c>
      <c r="M43" t="s">
        <v>19</v>
      </c>
    </row>
    <row r="44" spans="1:15">
      <c r="A44" t="s">
        <v>15</v>
      </c>
    </row>
    <row r="45" spans="1:15">
      <c r="A45" t="s">
        <v>8</v>
      </c>
      <c r="B45" t="s">
        <v>10</v>
      </c>
      <c r="G45" t="s">
        <v>14</v>
      </c>
      <c r="H45" t="s">
        <v>17</v>
      </c>
      <c r="I45" t="s">
        <v>16</v>
      </c>
      <c r="L45" t="s">
        <v>14</v>
      </c>
      <c r="M45" t="s">
        <v>17</v>
      </c>
      <c r="N45" t="s">
        <v>16</v>
      </c>
      <c r="O45" t="s">
        <v>20</v>
      </c>
    </row>
    <row r="46" spans="1:15">
      <c r="G46">
        <v>4</v>
      </c>
      <c r="H46" t="str">
        <f>ADDRESS(_xlfn.BITRSHIFT($G$46,6)+50,1+_xlfn.BITAND($G$46,127))</f>
        <v>$E$50</v>
      </c>
      <c r="I46" t="str" cm="1">
        <f t="array" aca="1" ref="I46" ca="1">INDIRECT($H$46)</f>
        <v>pen</v>
      </c>
      <c r="L46">
        <v>12</v>
      </c>
      <c r="M46" t="str">
        <f>ADDRESS(_xlfn.BITRSHIFT($L$46,6)+50,1+_xlfn.BITAND($L$46,127))</f>
        <v>$M$50</v>
      </c>
      <c r="N46">
        <v>34</v>
      </c>
      <c r="O46" t="e" cm="1">
        <f t="array" aca="1" ref="O46" ca="1">SetCellValue(CELL("contents",$M$46),$N$46)</f>
        <v>#NAME?</v>
      </c>
    </row>
    <row r="48" spans="1:15">
      <c r="A48" t="s">
        <v>11</v>
      </c>
      <c r="B48" t="s">
        <v>12</v>
      </c>
    </row>
    <row r="49" spans="1:128">
      <c r="A49" t="str">
        <f ca="1">ADDRESS(_xlfn.BITRSHIFT(_xlfn.BITRSHIFT(_pc,2),6)+50,1+_xlfn.BITAND(_xlfn.BITRSHIFT(_pc,2),127))</f>
        <v>$AL$50</v>
      </c>
      <c r="B49" cm="1">
        <f t="array" aca="1" ref="B49" ca="1">INDIRECT($A$49)</f>
        <v>0</v>
      </c>
    </row>
    <row r="50" spans="1:128">
      <c r="A50" s="2"/>
      <c r="B50" s="2"/>
      <c r="C50" s="2"/>
      <c r="D50" s="2" t="s">
        <v>13</v>
      </c>
      <c r="E50" s="2" t="s">
        <v>21</v>
      </c>
      <c r="F50" s="2"/>
      <c r="G50" s="2"/>
      <c r="H50" s="2"/>
      <c r="I50" s="2"/>
      <c r="J50" s="2"/>
      <c r="K50" s="2"/>
      <c r="L50" s="2"/>
      <c r="M50" s="2">
        <v>34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</row>
    <row r="51" spans="1:128">
      <c r="A51" s="2"/>
      <c r="B51" s="2" t="s">
        <v>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</row>
    <row r="52" spans="1:12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</row>
    <row r="53" spans="1:12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</row>
    <row r="54" spans="1:12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</row>
    <row r="55" spans="1:12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</row>
    <row r="56" spans="1:12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</row>
    <row r="57" spans="1:12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</row>
    <row r="58" spans="1:12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</row>
    <row r="59" spans="1:12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</row>
    <row r="60" spans="1:12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</row>
    <row r="61" spans="1:12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</row>
    <row r="62" spans="1:12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</row>
    <row r="63" spans="1:12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</row>
    <row r="64" spans="1:12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</row>
    <row r="65" spans="1:12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</row>
    <row r="66" spans="1:12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</row>
    <row r="67" spans="1:12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</row>
    <row r="68" spans="1:12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</row>
    <row r="69" spans="1:12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</row>
    <row r="70" spans="1:12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</row>
    <row r="71" spans="1:12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</row>
    <row r="72" spans="1:12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</row>
    <row r="73" spans="1:12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</row>
    <row r="74" spans="1:12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</row>
    <row r="75" spans="1:12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</row>
    <row r="76" spans="1:12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</row>
    <row r="77" spans="1:12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</row>
    <row r="78" spans="1:12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</row>
    <row r="79" spans="1:12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</row>
    <row r="80" spans="1:12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</row>
    <row r="81" spans="1:12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</row>
    <row r="82" spans="1:12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</row>
    <row r="83" spans="1:12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</row>
    <row r="84" spans="1:12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</row>
    <row r="85" spans="1:12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</row>
    <row r="86" spans="1:12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</row>
    <row r="87" spans="1:12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</row>
    <row r="88" spans="1:12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</row>
    <row r="89" spans="1:12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</row>
    <row r="90" spans="1:12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</row>
    <row r="91" spans="1:12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</row>
    <row r="92" spans="1:12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</row>
    <row r="93" spans="1:12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</row>
    <row r="94" spans="1:12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</row>
    <row r="95" spans="1:12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</row>
    <row r="96" spans="1:12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</row>
    <row r="97" spans="1:12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</row>
    <row r="98" spans="1:12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</row>
    <row r="99" spans="1:12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</row>
    <row r="100" spans="1:12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</row>
    <row r="101" spans="1:12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</row>
    <row r="102" spans="1:12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</row>
    <row r="103" spans="1:12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</row>
    <row r="104" spans="1:12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</row>
    <row r="105" spans="1:12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</row>
    <row r="106" spans="1:12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</row>
    <row r="107" spans="1:12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</row>
    <row r="108" spans="1:12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</row>
    <row r="109" spans="1:12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</row>
    <row r="110" spans="1:12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</row>
    <row r="111" spans="1:12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</row>
    <row r="112" spans="1:12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</row>
    <row r="113" spans="1:12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</row>
    <row r="114" spans="1:12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</row>
    <row r="115" spans="1:12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</row>
    <row r="116" spans="1:12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</row>
    <row r="117" spans="1:12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</row>
    <row r="118" spans="1:12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</row>
    <row r="119" spans="1:12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</row>
    <row r="120" spans="1:12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</row>
    <row r="121" spans="1:12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</row>
    <row r="122" spans="1:12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</row>
    <row r="123" spans="1:12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</row>
    <row r="124" spans="1:12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</row>
    <row r="125" spans="1:12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</row>
    <row r="126" spans="1:12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</row>
    <row r="127" spans="1:12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</row>
    <row r="128" spans="1: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</row>
    <row r="129" spans="1:12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</row>
    <row r="130" spans="1:12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</row>
    <row r="131" spans="1:12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</row>
    <row r="132" spans="1:12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</row>
    <row r="133" spans="1:12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</row>
    <row r="134" spans="1:12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</row>
    <row r="135" spans="1:12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</row>
    <row r="136" spans="1:12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</row>
    <row r="137" spans="1:12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</row>
    <row r="138" spans="1:12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</row>
    <row r="139" spans="1:12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</row>
    <row r="140" spans="1:12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</row>
    <row r="141" spans="1:12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</row>
    <row r="142" spans="1:12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</row>
    <row r="143" spans="1:12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</row>
    <row r="144" spans="1:12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</row>
    <row r="145" spans="1:12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</row>
    <row r="146" spans="1:12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</row>
    <row r="147" spans="1:12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</row>
    <row r="148" spans="1:12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</row>
    <row r="149" spans="1:12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</row>
    <row r="150" spans="1:12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</row>
    <row r="151" spans="1:12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</row>
    <row r="152" spans="1:12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</row>
    <row r="153" spans="1:12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</row>
    <row r="154" spans="1:12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</row>
    <row r="155" spans="1:12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</row>
    <row r="156" spans="1:12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</row>
    <row r="157" spans="1:12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</row>
    <row r="158" spans="1:12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</row>
    <row r="159" spans="1:12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</row>
    <row r="160" spans="1:12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</row>
    <row r="161" spans="1:12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</row>
    <row r="162" spans="1:12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</row>
    <row r="163" spans="1:12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</row>
    <row r="164" spans="1:12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</row>
    <row r="165" spans="1:12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</row>
    <row r="166" spans="1:12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</row>
    <row r="167" spans="1:12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</row>
    <row r="168" spans="1:12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</row>
    <row r="169" spans="1:12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</row>
    <row r="170" spans="1:12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</row>
    <row r="171" spans="1:12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</row>
    <row r="172" spans="1:12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</row>
    <row r="173" spans="1:12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</row>
    <row r="174" spans="1:12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</row>
    <row r="175" spans="1:12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</row>
    <row r="176" spans="1:12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</row>
    <row r="177" spans="1:12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</row>
    <row r="178" spans="1:12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31BF-120B-4942-8BA3-5B32A83BF744}">
  <sheetPr codeName="Sheet2"/>
  <dimension ref="A1:DX167"/>
  <sheetViews>
    <sheetView tabSelected="1" topLeftCell="A121" zoomScaleNormal="100" workbookViewId="0">
      <selection activeCell="M138" sqref="M138"/>
    </sheetView>
  </sheetViews>
  <sheetFormatPr baseColWidth="10" defaultColWidth="5.83203125" defaultRowHeight="16"/>
  <cols>
    <col min="1" max="1" width="10.1640625" bestFit="1" customWidth="1"/>
    <col min="2" max="2" width="7.83203125" bestFit="1" customWidth="1"/>
  </cols>
  <sheetData>
    <row r="1" spans="1:128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</row>
    <row r="2" spans="1:128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</row>
    <row r="3" spans="1:128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</row>
    <row r="4" spans="1:128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</row>
    <row r="5" spans="1:12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</row>
    <row r="6" spans="1:128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</row>
    <row r="7" spans="1:128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</row>
    <row r="8" spans="1:12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</row>
    <row r="9" spans="1:128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</row>
    <row r="10" spans="1:128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</row>
    <row r="11" spans="1:128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</row>
    <row r="12" spans="1:128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</row>
    <row r="13" spans="1:128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</row>
    <row r="14" spans="1:128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</row>
    <row r="15" spans="1:128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</row>
    <row r="16" spans="1:128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</row>
    <row r="17" spans="1:128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</row>
    <row r="18" spans="1:12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</row>
    <row r="19" spans="1:128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</row>
    <row r="20" spans="1:128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</row>
    <row r="21" spans="1:128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</row>
    <row r="22" spans="1:128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</row>
    <row r="23" spans="1:128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</row>
    <row r="24" spans="1:128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</row>
    <row r="25" spans="1:128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</row>
    <row r="26" spans="1:128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</row>
    <row r="27" spans="1:12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</row>
    <row r="28" spans="1:1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</row>
    <row r="29" spans="1:128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</row>
    <row r="30" spans="1:128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</row>
    <row r="31" spans="1:128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</row>
    <row r="32" spans="1:128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</row>
    <row r="33" spans="1:12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</row>
    <row r="34" spans="1:12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</row>
    <row r="35" spans="1:12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</row>
    <row r="36" spans="1:12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</row>
    <row r="37" spans="1:12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</row>
    <row r="38" spans="1:12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</row>
    <row r="39" spans="1:12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</row>
    <row r="40" spans="1:12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</row>
    <row r="41" spans="1:12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</row>
    <row r="42" spans="1:12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</row>
    <row r="43" spans="1:12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</row>
    <row r="44" spans="1:12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</row>
    <row r="45" spans="1:12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</row>
    <row r="46" spans="1:12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</row>
    <row r="47" spans="1:12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</row>
    <row r="48" spans="1:12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</row>
    <row r="49" spans="1:128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</row>
    <row r="50" spans="1:128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</row>
    <row r="51" spans="1:128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</row>
    <row r="52" spans="1:128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</row>
    <row r="53" spans="1:128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</row>
    <row r="54" spans="1:128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</row>
    <row r="55" spans="1:128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</row>
    <row r="56" spans="1:128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</row>
    <row r="57" spans="1:128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</row>
    <row r="58" spans="1:12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</row>
    <row r="59" spans="1:128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</row>
    <row r="60" spans="1:128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</row>
    <row r="61" spans="1:128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</row>
    <row r="62" spans="1:128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</row>
    <row r="63" spans="1:128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</row>
    <row r="64" spans="1:128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</row>
    <row r="65" spans="1:128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</row>
    <row r="66" spans="1:128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</row>
    <row r="67" spans="1:128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</row>
    <row r="68" spans="1:12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</row>
    <row r="69" spans="1:128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</row>
    <row r="70" spans="1:128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</row>
    <row r="71" spans="1:128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</row>
    <row r="72" spans="1:128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</row>
    <row r="73" spans="1:128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</row>
    <row r="74" spans="1:128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</row>
    <row r="75" spans="1:128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</row>
    <row r="76" spans="1:128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</row>
    <row r="77" spans="1:128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</row>
    <row r="78" spans="1:12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</row>
    <row r="79" spans="1:128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</row>
    <row r="80" spans="1:128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</row>
    <row r="81" spans="1:128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</row>
    <row r="82" spans="1:128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</row>
    <row r="83" spans="1:128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</row>
    <row r="84" spans="1:128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</row>
    <row r="85" spans="1:128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</row>
    <row r="86" spans="1:128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</row>
    <row r="87" spans="1:128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</row>
    <row r="88" spans="1:12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</row>
    <row r="89" spans="1:128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</row>
    <row r="90" spans="1:128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</row>
    <row r="91" spans="1:128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</row>
    <row r="92" spans="1:128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</row>
    <row r="93" spans="1:128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</row>
    <row r="94" spans="1:128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</row>
    <row r="95" spans="1:128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</row>
    <row r="96" spans="1:128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</row>
    <row r="97" spans="1:128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</row>
    <row r="98" spans="1:12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</row>
    <row r="99" spans="1:128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</row>
    <row r="100" spans="1:128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</row>
    <row r="101" spans="1:128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</row>
    <row r="102" spans="1:128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</row>
    <row r="103" spans="1:128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</row>
    <row r="104" spans="1:128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</row>
    <row r="105" spans="1:128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</row>
    <row r="106" spans="1:128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</row>
    <row r="107" spans="1:128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</row>
    <row r="108" spans="1:12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</row>
    <row r="109" spans="1:12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</row>
    <row r="110" spans="1:128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</row>
    <row r="111" spans="1:128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</row>
    <row r="112" spans="1:128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</row>
    <row r="113" spans="1:128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</row>
    <row r="114" spans="1:128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</row>
    <row r="115" spans="1:128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</row>
    <row r="116" spans="1:128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</row>
    <row r="117" spans="1:128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</row>
    <row r="118" spans="1:12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</row>
    <row r="119" spans="1:128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</row>
    <row r="120" spans="1:12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</row>
    <row r="121" spans="1:12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</row>
    <row r="122" spans="1:12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</row>
    <row r="123" spans="1:12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</row>
    <row r="124" spans="1:12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</row>
    <row r="125" spans="1:12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</row>
    <row r="126" spans="1:12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</row>
    <row r="127" spans="1:12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</row>
    <row r="128" spans="1: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</row>
    <row r="130" spans="1:8">
      <c r="A130" t="s">
        <v>99</v>
      </c>
      <c r="B130" t="s">
        <v>98</v>
      </c>
      <c r="D130" t="s">
        <v>100</v>
      </c>
      <c r="F130" t="s">
        <v>101</v>
      </c>
    </row>
    <row r="131" spans="1:8">
      <c r="A131" t="str">
        <f ca="1">ADDRESS(_xlfn.BITRSHIFT(_xlfn.BITRSHIFT(_pc,2),6) + 1,1+_xlfn.BITAND(_xlfn.BITRSHIFT(_pc,2),127))</f>
        <v>$AK$1</v>
      </c>
      <c r="B131" cm="1">
        <f t="array" aca="1" ref="B131" ca="1">INDIRECT(PCADDR)</f>
        <v>0</v>
      </c>
      <c r="D131" t="b">
        <v>0</v>
      </c>
      <c r="F131">
        <v>134218148</v>
      </c>
    </row>
    <row r="133" spans="1:8">
      <c r="A133">
        <f ca="1">IF(OVRD?, OVRDVAL,PCVAL)</f>
        <v>0</v>
      </c>
      <c r="B133">
        <f ca="1">_xlfn.BITRSHIFT($A$133,26)</f>
        <v>0</v>
      </c>
      <c r="C133" t="s">
        <v>5</v>
      </c>
      <c r="E133" t="s">
        <v>6</v>
      </c>
      <c r="G133" t="s">
        <v>7</v>
      </c>
    </row>
    <row r="134" spans="1:8">
      <c r="A134" t="s">
        <v>3</v>
      </c>
      <c r="B134" t="s">
        <v>4</v>
      </c>
      <c r="C134" t="b">
        <f ca="1">(OP=0)</f>
        <v>1</v>
      </c>
      <c r="E134" t="b">
        <f ca="1">AND(NOT(RFMT),NOT(JFMT))</f>
        <v>0</v>
      </c>
      <c r="G134" t="b">
        <f ca="1">OR(OP=2,OP=3,OP=26)</f>
        <v>0</v>
      </c>
    </row>
    <row r="136" spans="1:8">
      <c r="C136" t="s">
        <v>25</v>
      </c>
      <c r="D136">
        <f ca="1" xml:space="preserve"> _xlfn.BITAND(INSTR,127)</f>
        <v>0</v>
      </c>
      <c r="E136" t="s">
        <v>24</v>
      </c>
      <c r="F136">
        <f ca="1">IF(IFMT,_xlfn.BITAND(INSTR,65535),IMMD)</f>
        <v>1999</v>
      </c>
      <c r="G136" t="s">
        <v>43</v>
      </c>
      <c r="H136">
        <f ca="1">IF(JFMT,_xlfn.BITAND(INSTR,134217727),JBITS)</f>
        <v>420</v>
      </c>
    </row>
    <row r="137" spans="1:8">
      <c r="C137" t="s">
        <v>26</v>
      </c>
      <c r="D137">
        <f ca="1">IF(RFMT,_xlfn.BITAND(_xlfn.BITRSHIFT(INSTR,6),31),$D$137)</f>
        <v>0</v>
      </c>
    </row>
    <row r="138" spans="1:8">
      <c r="C138" t="s">
        <v>27</v>
      </c>
      <c r="D138">
        <f ca="1">IF(RFMT,_xlfn.BITAND(_xlfn.BITRSHIFT(INSTR,11),31),$D$138)</f>
        <v>0</v>
      </c>
    </row>
    <row r="139" spans="1:8">
      <c r="C139" t="s">
        <v>28</v>
      </c>
      <c r="D139">
        <f ca="1">IF(OR(RFMT,IFMT),_xlfn.BITAND(_xlfn.BITRSHIFT(INSTR,16),31),$D$139)</f>
        <v>0</v>
      </c>
    </row>
    <row r="140" spans="1:8">
      <c r="C140" t="s">
        <v>29</v>
      </c>
      <c r="D140">
        <f ca="1">IF(OR(RFMT,IFMT),_xlfn.BITAND(_xlfn.BITRSHIFT(INSTR,21),31),$D$140)</f>
        <v>0</v>
      </c>
    </row>
    <row r="142" spans="1:8">
      <c r="C142" t="s">
        <v>30</v>
      </c>
      <c r="D142" t="str">
        <f ca="1">IF(RFMT,ADDRESS(_xlfn.BITRSHIFT(RD,3)*2 + 160, 1+_xlfn.BITAND(RD,7)),RDADDR)</f>
        <v>$A$160</v>
      </c>
      <c r="E142" t="s">
        <v>44</v>
      </c>
      <c r="F142">
        <f ca="1">IF(OP=35,_xlfn.BITAND(_xlfn.BITRSHIFT(INSTR,21),31),LWBASE)</f>
        <v>5</v>
      </c>
    </row>
    <row r="143" spans="1:8">
      <c r="C143" t="s">
        <v>23</v>
      </c>
      <c r="D143" t="str">
        <f ca="1">ADDRESS(_xlfn.BITRSHIFT(RT,3)*2 + 160, 1+_xlfn.BITAND(RT,7))</f>
        <v>$A$160</v>
      </c>
      <c r="E143" t="s">
        <v>45</v>
      </c>
      <c r="F143" t="str">
        <f ca="1">ADDRESS(_xlfn.BITRSHIFT(LWBASE,3)*2 + 160, 1+_xlfn.BITAND(LWBASE,7))</f>
        <v>$F$160</v>
      </c>
    </row>
    <row r="144" spans="1:8">
      <c r="C144" t="s">
        <v>22</v>
      </c>
      <c r="D144" t="str">
        <f ca="1">ADDRESS(_xlfn.BITRSHIFT(RS,3)*2 + 160, 1+_xlfn.BITAND(RS,7))</f>
        <v>$A$160</v>
      </c>
    </row>
    <row r="146" spans="1:19">
      <c r="C146" t="s">
        <v>33</v>
      </c>
      <c r="D146" cm="1">
        <f t="array" aca="1" ref="D146" ca="1">INDIRECT(RTADDR)</f>
        <v>0</v>
      </c>
      <c r="F146" t="s">
        <v>66</v>
      </c>
      <c r="G146">
        <f ca="1">IF(RFMT, RD, IF(IFMT,IF(_xlfn.BITRSHIFT(OP,3)=0,31,RT),31))</f>
        <v>0</v>
      </c>
    </row>
    <row r="147" spans="1:19">
      <c r="C147" t="s">
        <v>34</v>
      </c>
      <c r="D147" cm="1">
        <f t="array" aca="1" ref="D147" ca="1">INDIRECT(RSADDR)</f>
        <v>0</v>
      </c>
      <c r="F147" t="s">
        <v>97</v>
      </c>
      <c r="G147" t="str">
        <f ca="1">ADDRESS(_xlfn.BITRSHIFT(REGWRITE,3)*2 + 160, 1+_xlfn.BITAND(REGWRITE,7))</f>
        <v>$A$160</v>
      </c>
    </row>
    <row r="149" spans="1:19">
      <c r="A149" t="s">
        <v>65</v>
      </c>
      <c r="B149" t="s">
        <v>46</v>
      </c>
      <c r="C149" t="s">
        <v>47</v>
      </c>
      <c r="D149" t="s">
        <v>48</v>
      </c>
      <c r="E149" t="s">
        <v>50</v>
      </c>
      <c r="F149" t="s">
        <v>49</v>
      </c>
      <c r="G149" t="s">
        <v>51</v>
      </c>
      <c r="H149" t="s">
        <v>52</v>
      </c>
      <c r="I149" t="s">
        <v>53</v>
      </c>
      <c r="J149" t="s">
        <v>54</v>
      </c>
      <c r="K149" t="s">
        <v>55</v>
      </c>
      <c r="L149" t="s">
        <v>57</v>
      </c>
      <c r="M149" t="s">
        <v>56</v>
      </c>
      <c r="N149" t="s">
        <v>58</v>
      </c>
      <c r="O149" t="s">
        <v>59</v>
      </c>
      <c r="P149" t="s">
        <v>60</v>
      </c>
      <c r="Q149" t="s">
        <v>61</v>
      </c>
      <c r="R149" t="s">
        <v>62</v>
      </c>
      <c r="S149" t="s">
        <v>63</v>
      </c>
    </row>
    <row r="150" spans="1:19">
      <c r="B150">
        <f ca="1">RTVAL+RSVAL</f>
        <v>0</v>
      </c>
      <c r="C150">
        <f ca="1">RSVAL-RTVAL</f>
        <v>0</v>
      </c>
      <c r="D150">
        <f ca="1">RSVAL*RTVAL</f>
        <v>0</v>
      </c>
      <c r="E150" t="e">
        <f ca="1">RSVAL/RTVAL</f>
        <v>#DIV/0!</v>
      </c>
      <c r="F150">
        <f ca="1">_xlfn.BITAND(RSVAL,RTVAL)</f>
        <v>0</v>
      </c>
      <c r="G150">
        <f ca="1">_xlfn.BITOR(RSVAL,RTVAL)</f>
        <v>0</v>
      </c>
      <c r="H150">
        <f ca="1">_xlfn.BITXOR(RSVAL,RTVAL)</f>
        <v>0</v>
      </c>
      <c r="I150">
        <f ca="1">_xlfn.BITLSHIFT(RTVAL,SHMT)</f>
        <v>0</v>
      </c>
      <c r="J150">
        <f ca="1">_xlfn.BITRSHIFT(RTVAL,SHMT)</f>
        <v>0</v>
      </c>
      <c r="K150">
        <f ca="1">RSVAL+IMMD</f>
        <v>1999</v>
      </c>
      <c r="L150">
        <f ca="1">_xlfn.BITAND(RSVAL,IMMD)</f>
        <v>0</v>
      </c>
      <c r="M150">
        <f ca="1">_xlfn.BITOR(RSVAL,IMMD)</f>
        <v>1999</v>
      </c>
      <c r="N150">
        <f ca="1">IFERROR(_xlfn.BITXOR(RSVAL,IMMD),XORI)</f>
        <v>1999</v>
      </c>
      <c r="O150">
        <f ca="1">_xlfn.BITOR(_xlfn.BITAND(_pc, 4026531840), _xlfn.BITLSHIFT(JBITS,2))</f>
        <v>1680</v>
      </c>
      <c r="P150">
        <f ca="1">IF(RSVAL=RTVAL,_xlfn.BITLSHIFT(IMMD,2)+_pc+4,_pc+4)</f>
        <v>8144</v>
      </c>
      <c r="Q150">
        <f ca="1">IF(RSVAL&lt;&gt;RTVAL,_xlfn.BITLSHIFT(IMMD,2)+_pc+4,_pc+4)</f>
        <v>148</v>
      </c>
      <c r="R150" cm="1">
        <f t="array" aca="1" ref="R150" ca="1">INDIRECT(LWBASEADDR)+IMMD</f>
        <v>1999</v>
      </c>
      <c r="S150">
        <f ca="1">RTVAL</f>
        <v>0</v>
      </c>
    </row>
    <row r="151" spans="1:19" ht="17">
      <c r="A151" t="s">
        <v>64</v>
      </c>
      <c r="B151" t="s">
        <v>32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8</v>
      </c>
      <c r="L151">
        <v>12</v>
      </c>
      <c r="M151">
        <v>13</v>
      </c>
      <c r="N151" s="1">
        <v>14</v>
      </c>
      <c r="O151">
        <v>2</v>
      </c>
      <c r="P151">
        <v>4</v>
      </c>
      <c r="Q151">
        <v>5</v>
      </c>
      <c r="R151">
        <v>34</v>
      </c>
      <c r="S151">
        <v>42</v>
      </c>
    </row>
    <row r="153" spans="1:19">
      <c r="B153" t="s">
        <v>31</v>
      </c>
      <c r="C153" cm="1">
        <f t="array" aca="1" ref="C153" ca="1">IFERROR(_xlfn.SWITCH(OP,8,ADDI,12,ANDI,13,ORI,14,XORI,2,J,4,BEQ,5,BNE,34,LW,42,SW, 0, _xlfn.SWITCH(FNCT,32,ADD,34,SUB,24,MULT,26,DIV,36,AND,37,OR,38,XOR,0,SLL,2,SRL)),ALU)</f>
        <v>0</v>
      </c>
    </row>
    <row r="158" spans="1:19">
      <c r="J158">
        <f ca="1">IF(CLR,0,IFERROR(IF(REGWRITEADDR=ADDRESS(ROW(),COLUMN()),ALU,_v0),_v0))</f>
        <v>0</v>
      </c>
    </row>
    <row r="160" spans="1:19">
      <c r="A160">
        <v>0</v>
      </c>
      <c r="B160">
        <f ca="1">IF(CLR,0,IFERROR(IF(REGWRITEADDR=ADDRESS(ROW(),COLUMN()),ALU,_v0),_v0))</f>
        <v>0</v>
      </c>
      <c r="C160">
        <f ca="1">IF(CLR,0,IFERROR(IF(REGWRITEADDR=ADDRESS(ROW(),COLUMN()),ALU,_v1),_v1))</f>
        <v>0</v>
      </c>
      <c r="D160">
        <f ca="1">IF(CLR,0,IFERROR(IF(REGWRITEADDR=ADDRESS(ROW(),COLUMN()),ALU,_a0),_a0))</f>
        <v>0</v>
      </c>
      <c r="E160">
        <f ca="1">IF(CLR,0,IFERROR(IF(REGWRITEADDR=ADDRESS(ROW(),COLUMN()),ALU,_a1),_a1))</f>
        <v>0</v>
      </c>
      <c r="F160">
        <f ca="1">IF(CLR,0,IFERROR(IF(REGWRITEADDR=ADDRESS(ROW(),COLUMN()),ALU,_a2),_a2))</f>
        <v>0</v>
      </c>
      <c r="G160">
        <f ca="1">IF(CLR,0,IFERROR(IF(REGWRITEADDR=ADDRESS(ROW(),COLUMN()),ALU,_a3),_a3))</f>
        <v>0</v>
      </c>
      <c r="H160">
        <f ca="1">IF(CLR,0,IFERROR(IF(REGWRITEADDR=ADDRESS(ROW(),COLUMN()),ALU,_t0),_t0))</f>
        <v>0</v>
      </c>
    </row>
    <row r="161" spans="1:8">
      <c r="A161" t="s">
        <v>67</v>
      </c>
      <c r="B161" t="s">
        <v>68</v>
      </c>
      <c r="C161" t="s">
        <v>69</v>
      </c>
      <c r="D161" t="s">
        <v>70</v>
      </c>
      <c r="E161" t="s">
        <v>71</v>
      </c>
      <c r="F161" t="s">
        <v>72</v>
      </c>
      <c r="G161" t="s">
        <v>73</v>
      </c>
      <c r="H161" t="s">
        <v>74</v>
      </c>
    </row>
    <row r="162" spans="1:8">
      <c r="A162">
        <f ca="1">IF(CLR,0,IFERROR(IF(REGWRITEADDR=ADDRESS(ROW(),COLUMN()),ALU,_t1),_t1))</f>
        <v>0</v>
      </c>
      <c r="B162">
        <f ca="1">IF(CLR,0,IFERROR(IF(REGWRITEADDR=ADDRESS(ROW(),COLUMN()),ALU,_t2),_t2))</f>
        <v>0</v>
      </c>
      <c r="C162">
        <f ca="1">IF(CLR,0,IFERROR(IF(REGWRITEADDR=ADDRESS(ROW(),COLUMN()),ALU,_t3),_t3))</f>
        <v>0</v>
      </c>
      <c r="D162">
        <f ca="1">IF(CLR,0,IFERROR(IF(REGWRITEADDR=ADDRESS(ROW(),COLUMN()),ALU,_t4),_t4))</f>
        <v>0</v>
      </c>
      <c r="E162">
        <f ca="1">IF(CLR,0,IFERROR(IF(REGWRITEADDR=ADDRESS(ROW(),COLUMN()),ALU,_t5),_t5))</f>
        <v>0</v>
      </c>
      <c r="F162">
        <f ca="1">IF(CLR,0,IFERROR(IF(REGWRITEADDR=ADDRESS(ROW(),COLUMN()),ALU,_t6),_t6))</f>
        <v>1999</v>
      </c>
      <c r="G162">
        <f ca="1">IF(CLR,0,IFERROR(IF(REGWRITEADDR=ADDRESS(ROW(),COLUMN()),ALU,_t7),_t7))</f>
        <v>0</v>
      </c>
      <c r="H162">
        <f ca="1">IF(CLR,0,IFERROR(IF(REGWRITEADDR=ADDRESS(ROW(),COLUMN()),ALU,_t8),_t8))</f>
        <v>0</v>
      </c>
    </row>
    <row r="163" spans="1:8">
      <c r="A163" t="s">
        <v>75</v>
      </c>
      <c r="B163" t="s">
        <v>76</v>
      </c>
      <c r="C163" t="s">
        <v>77</v>
      </c>
      <c r="D163" t="s">
        <v>78</v>
      </c>
      <c r="E163" t="s">
        <v>79</v>
      </c>
      <c r="F163" t="s">
        <v>80</v>
      </c>
      <c r="G163" t="s">
        <v>81</v>
      </c>
      <c r="H163" t="s">
        <v>82</v>
      </c>
    </row>
    <row r="164" spans="1:8">
      <c r="A164">
        <f ca="1">IF(CLR,0,IFERROR(IF(REGWRITEADDR=ADDRESS(ROW(),COLUMN()),ALU,_t9),_t9))</f>
        <v>0</v>
      </c>
      <c r="B164">
        <f ca="1">IF(CLR,0,IFERROR(IF(REGWRITEADDR=ADDRESS(ROW(),COLUMN()),ALU,_s0),_s0))</f>
        <v>0</v>
      </c>
      <c r="C164">
        <f ca="1">IF(CLR,0,IFERROR(IF(REGWRITEADDR=ADDRESS(ROW(),COLUMN()),ALU,_s1),_s1))</f>
        <v>0</v>
      </c>
      <c r="D164">
        <f ca="1">IF(CLR,0,IFERROR(IF(REGWRITEADDR=ADDRESS(ROW(),COLUMN()),ALU,_s2),_s2))</f>
        <v>0</v>
      </c>
      <c r="E164">
        <f ca="1">IF(CLR,0,IFERROR(IF(REGWRITEADDR=ADDRESS(ROW(),COLUMN()),ALU,_s3),_s3))</f>
        <v>0</v>
      </c>
      <c r="F164">
        <f ca="1">IF(CLR,0,IFERROR(IF(REGWRITEADDR=ADDRESS(ROW(),COLUMN()),ALU,_s4),_s4))</f>
        <v>0</v>
      </c>
      <c r="G164">
        <f ca="1">IF(CLR,0,IFERROR(IF(REGWRITEADDR=ADDRESS(ROW(),COLUMN()),ALU,_s5),_s5))</f>
        <v>0</v>
      </c>
      <c r="H164">
        <f ca="1">IF(CLR,0,IFERROR(IF(REGWRITEADDR=ADDRESS(ROW(),COLUMN()),ALU,_s6),_s6))</f>
        <v>0</v>
      </c>
    </row>
    <row r="165" spans="1:8">
      <c r="A165" t="s">
        <v>83</v>
      </c>
      <c r="B165" t="s">
        <v>84</v>
      </c>
      <c r="C165" t="s">
        <v>85</v>
      </c>
      <c r="D165" t="s">
        <v>86</v>
      </c>
      <c r="E165" t="s">
        <v>87</v>
      </c>
      <c r="F165" t="s">
        <v>88</v>
      </c>
      <c r="G165" t="s">
        <v>89</v>
      </c>
      <c r="H165" t="s">
        <v>90</v>
      </c>
    </row>
    <row r="166" spans="1:8">
      <c r="A166">
        <f ca="1">IF(CLR,0,IFERROR(IF(REGWRITEADDR=ADDRESS(ROW(),COLUMN()),ALU,_s7),_s7))</f>
        <v>0</v>
      </c>
      <c r="B166">
        <f ca="1">IF(CLR,0,IFERROR(IF(REGWRITEADDR=ADDRESS(ROW(),COLUMN()),ALU,_t8),_t8))</f>
        <v>0</v>
      </c>
      <c r="C166">
        <f ca="1">IF(CLR,0,IFERROR(IF(REGWRITEADDR=ADDRESS(ROW(),COLUMN()),ALU,_t9),_t9))</f>
        <v>0</v>
      </c>
      <c r="D166">
        <f ca="1">IF(CLR,0,IFERROR(IF(REGWRITEADDR=ADDRESS(ROW(),COLUMN()),ALU,_gp),_gp))</f>
        <v>0</v>
      </c>
      <c r="E166">
        <f ca="1">IF(CLR,0,IFERROR(IF(REGWRITEADDR=ADDRESS(ROW(),COLUMN()),ALU,_sp),_sp))</f>
        <v>0</v>
      </c>
      <c r="F166">
        <f ca="1">IF(CLR,0,IFERROR(IF(REGWRITEADDR=ADDRESS(ROW(),COLUMN()),ALU,_fp),_fp))</f>
        <v>0</v>
      </c>
      <c r="G166">
        <f ca="1">IF(CLR,0,IFERROR(IF(REGWRITEADDR=ADDRESS(ROW(),COLUMN()),ALU,_ra),_ra))</f>
        <v>0</v>
      </c>
      <c r="H166">
        <f ca="1">IF(CLR,0,IFERROR(IF(REGWRITEADDR=ADDRESS(ROW(),COLUMN()),ALU,_pc+4),_pc))</f>
        <v>148</v>
      </c>
    </row>
    <row r="167" spans="1:8">
      <c r="A167" t="s">
        <v>91</v>
      </c>
      <c r="B167" t="s">
        <v>82</v>
      </c>
      <c r="C167" t="s">
        <v>83</v>
      </c>
      <c r="D167" t="s">
        <v>92</v>
      </c>
      <c r="E167" t="s">
        <v>93</v>
      </c>
      <c r="F167" t="s">
        <v>94</v>
      </c>
      <c r="G167" t="s">
        <v>95</v>
      </c>
      <c r="H167" t="s">
        <v>96</v>
      </c>
    </row>
  </sheetData>
  <pageMargins left="0.7" right="0.7" top="0.75" bottom="0.75" header="0.3" footer="0.3"/>
  <pageSetup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4" r:id="rId3" name="Check Box 16">
              <controlPr defaultSize="0" autoFill="0" autoLine="0" autoPict="0">
                <anchor moveWithCells="1">
                  <from>
                    <xdr:col>3</xdr:col>
                    <xdr:colOff>76200</xdr:colOff>
                    <xdr:row>127</xdr:row>
                    <xdr:rowOff>114300</xdr:rowOff>
                  </from>
                  <to>
                    <xdr:col>6</xdr:col>
                    <xdr:colOff>266700</xdr:colOff>
                    <xdr:row>129</xdr:row>
                    <xdr:rowOff>88900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76</vt:i4>
      </vt:variant>
    </vt:vector>
  </HeadingPairs>
  <TitlesOfParts>
    <vt:vector size="78" baseType="lpstr">
      <vt:lpstr>Sheet1</vt:lpstr>
      <vt:lpstr>CPU</vt:lpstr>
      <vt:lpstr>_a0</vt:lpstr>
      <vt:lpstr>_a1</vt:lpstr>
      <vt:lpstr>_a2</vt:lpstr>
      <vt:lpstr>_a3</vt:lpstr>
      <vt:lpstr>_fp</vt:lpstr>
      <vt:lpstr>_gp</vt:lpstr>
      <vt:lpstr>_pc</vt:lpstr>
      <vt:lpstr>_ra</vt:lpstr>
      <vt:lpstr>_s0</vt:lpstr>
      <vt:lpstr>_s1</vt:lpstr>
      <vt:lpstr>_s2</vt:lpstr>
      <vt:lpstr>_s3</vt:lpstr>
      <vt:lpstr>_s4</vt:lpstr>
      <vt:lpstr>_s5</vt:lpstr>
      <vt:lpstr>_s6</vt:lpstr>
      <vt:lpstr>_s7</vt:lpstr>
      <vt:lpstr>_sp</vt:lpstr>
      <vt:lpstr>_t0</vt:lpstr>
      <vt:lpstr>_t1</vt:lpstr>
      <vt:lpstr>_t2</vt:lpstr>
      <vt:lpstr>_t3</vt:lpstr>
      <vt:lpstr>_t4</vt:lpstr>
      <vt:lpstr>_t5</vt:lpstr>
      <vt:lpstr>_t6</vt:lpstr>
      <vt:lpstr>_t7</vt:lpstr>
      <vt:lpstr>_t8</vt:lpstr>
      <vt:lpstr>_t9</vt:lpstr>
      <vt:lpstr>_v0</vt:lpstr>
      <vt:lpstr>_v1</vt:lpstr>
      <vt:lpstr>_zero</vt:lpstr>
      <vt:lpstr>ADD</vt:lpstr>
      <vt:lpstr>ADDI</vt:lpstr>
      <vt:lpstr>ALU</vt:lpstr>
      <vt:lpstr>AND</vt:lpstr>
      <vt:lpstr>ANDI</vt:lpstr>
      <vt:lpstr>BEQ</vt:lpstr>
      <vt:lpstr>BNE</vt:lpstr>
      <vt:lpstr>CLK</vt:lpstr>
      <vt:lpstr>CLR</vt:lpstr>
      <vt:lpstr>DIV</vt:lpstr>
      <vt:lpstr>FNCT</vt:lpstr>
      <vt:lpstr>IFMT</vt:lpstr>
      <vt:lpstr>IMMD</vt:lpstr>
      <vt:lpstr>INSTR</vt:lpstr>
      <vt:lpstr>J</vt:lpstr>
      <vt:lpstr>JBITS</vt:lpstr>
      <vt:lpstr>JFMT</vt:lpstr>
      <vt:lpstr>LW</vt:lpstr>
      <vt:lpstr>LWBASE</vt:lpstr>
      <vt:lpstr>LWBASEADDR</vt:lpstr>
      <vt:lpstr>MULT</vt:lpstr>
      <vt:lpstr>OP</vt:lpstr>
      <vt:lpstr>OR</vt:lpstr>
      <vt:lpstr>ORI</vt:lpstr>
      <vt:lpstr>OVRD?</vt:lpstr>
      <vt:lpstr>OVRDVAL</vt:lpstr>
      <vt:lpstr>PCADDR</vt:lpstr>
      <vt:lpstr>PCVAL</vt:lpstr>
      <vt:lpstr>RD</vt:lpstr>
      <vt:lpstr>RDADDR</vt:lpstr>
      <vt:lpstr>REGWRITE</vt:lpstr>
      <vt:lpstr>REGWRITEADDR</vt:lpstr>
      <vt:lpstr>RFMT</vt:lpstr>
      <vt:lpstr>RS</vt:lpstr>
      <vt:lpstr>RSADDR</vt:lpstr>
      <vt:lpstr>RSVAL</vt:lpstr>
      <vt:lpstr>RT</vt:lpstr>
      <vt:lpstr>RTADDR</vt:lpstr>
      <vt:lpstr>RTVAL</vt:lpstr>
      <vt:lpstr>SHMT</vt:lpstr>
      <vt:lpstr>SLL</vt:lpstr>
      <vt:lpstr>SRL</vt:lpstr>
      <vt:lpstr>SUB</vt:lpstr>
      <vt:lpstr>SW</vt:lpstr>
      <vt:lpstr>XOR</vt:lpstr>
      <vt:lpstr>XORI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Terrill, Cooper</dc:creator>
  <cp:lastModifiedBy>Terrill, Cooper</cp:lastModifiedBy>
  <dcterms:created xsi:type="dcterms:W3CDTF">2024-05-16T20:40:16Z</dcterms:created>
  <dcterms:modified xsi:type="dcterms:W3CDTF">2024-05-24T02:29:28Z</dcterms:modified>
</cp:coreProperties>
</file>