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EB6E1333-781D-2740-85E8-418B973237FC}" xr6:coauthVersionLast="47" xr6:coauthVersionMax="47" xr10:uidLastSave="{00000000-0000-0000-0000-000000000000}"/>
  <bookViews>
    <workbookView xWindow="17100" yWindow="780" windowWidth="17100" windowHeight="19300" activeTab="1" xr2:uid="{95E4A03E-3FED-BF42-ACD2-5D2E65B33E92}"/>
  </bookViews>
  <sheets>
    <sheet name="Sheet1" sheetId="1" r:id="rId1"/>
    <sheet name="CPU" sheetId="2" r:id="rId2"/>
  </sheets>
  <definedNames>
    <definedName name="_a0">CPU!$D$160</definedName>
    <definedName name="_a1">CPU!$E$160</definedName>
    <definedName name="_a2">CPU!$F$160</definedName>
    <definedName name="_a3">CPU!$G$160</definedName>
    <definedName name="_fp">CPU!$F$166</definedName>
    <definedName name="_gp">CPU!$D$166</definedName>
    <definedName name="_pc">CPU!$H$166</definedName>
    <definedName name="_ra">CPU!$G$166</definedName>
    <definedName name="_s0">CPU!$B$164</definedName>
    <definedName name="_s1">CPU!$C$164</definedName>
    <definedName name="_s2">CPU!$D$164</definedName>
    <definedName name="_s3">CPU!$E$164</definedName>
    <definedName name="_s4">CPU!$F$164</definedName>
    <definedName name="_s5">CPU!$G$164</definedName>
    <definedName name="_s6">CPU!$H$164</definedName>
    <definedName name="_s7">CPU!$A$166</definedName>
    <definedName name="_sp">CPU!$E$166</definedName>
    <definedName name="_t0">CPU!$H$160</definedName>
    <definedName name="_t1">CPU!$A$162</definedName>
    <definedName name="_t2">CPU!$B$162</definedName>
    <definedName name="_t3">CPU!$C$162</definedName>
    <definedName name="_t4">CPU!$D$162</definedName>
    <definedName name="_t5">CPU!$E$162</definedName>
    <definedName name="_t6">CPU!$F$162</definedName>
    <definedName name="_t7">CPU!$G$162</definedName>
    <definedName name="_t8">CPU!$B$166</definedName>
    <definedName name="_t9">CPU!$C$166</definedName>
    <definedName name="_v0">CPU!$B$160</definedName>
    <definedName name="_v1">CPU!$C$160</definedName>
    <definedName name="_zero">CPU!$A$160</definedName>
    <definedName name="ADD">CPU!$B$150</definedName>
    <definedName name="ADDI">CPU!$K$150</definedName>
    <definedName name="ALU">CPU!$C$153</definedName>
    <definedName name="AND">CPU!$F$150</definedName>
    <definedName name="ANDI">CPU!$L$150</definedName>
    <definedName name="BEQ">CPU!$P$150</definedName>
    <definedName name="BNE">CPU!$Q$150</definedName>
    <definedName name="CLK">Sheet1!$A$1</definedName>
    <definedName name="CLR">Sheet1!$B$1</definedName>
    <definedName name="DIV">CPU!$E$150</definedName>
    <definedName name="FNCT">CPU!$D$136</definedName>
    <definedName name="IFMT">CPU!$E$134</definedName>
    <definedName name="IMMD">CPU!$F$136</definedName>
    <definedName name="INSTR">CPU!$A$133</definedName>
    <definedName name="J">CPU!$O$150</definedName>
    <definedName name="JBITS">CPU!$H$136</definedName>
    <definedName name="JFMT">CPU!$G$134</definedName>
    <definedName name="LW">CPU!$R$150</definedName>
    <definedName name="LWBASE">CPU!$F$142</definedName>
    <definedName name="LWBASEADDR">CPU!$F$143</definedName>
    <definedName name="MULT">CPU!$D$150</definedName>
    <definedName name="OP">CPU!$B$133</definedName>
    <definedName name="OR">CPU!$G$150</definedName>
    <definedName name="ORI">CPU!$M$150</definedName>
    <definedName name="RD">CPU!$D$138</definedName>
    <definedName name="RDADDR">CPU!$D$142</definedName>
    <definedName name="REGWRITE">CPU!$G$146</definedName>
    <definedName name="REGWRITEADDR">CPU!$G$147</definedName>
    <definedName name="RFMT">CPU!$C$134</definedName>
    <definedName name="RS">CPU!$D$140</definedName>
    <definedName name="RSADDR">CPU!$D$144</definedName>
    <definedName name="RSVAL">CPU!$D$147</definedName>
    <definedName name="RT">CPU!$D$139</definedName>
    <definedName name="RTADDR">CPU!$D$143</definedName>
    <definedName name="RTVAL">CPU!$D$146</definedName>
    <definedName name="SHMT">CPU!$D$137</definedName>
    <definedName name="SLL">CPU!$I$150</definedName>
    <definedName name="SRL">CPU!$J$150</definedName>
    <definedName name="SUB">CPU!$C$150</definedName>
    <definedName name="SW">CPU!$S$150</definedName>
    <definedName name="XOR">CPU!$H$150</definedName>
    <definedName name="XORI">CPU!$N$150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2" l="1"/>
  <c r="B133" i="2"/>
  <c r="C134" i="2" s="1"/>
  <c r="A131" i="2"/>
  <c r="A49" i="1"/>
  <c r="H46" i="1"/>
  <c r="M46" i="1"/>
  <c r="O46" i="1" s="1" a="1"/>
  <c r="B131" i="2" a="1"/>
  <c r="I46" i="1" a="1"/>
  <c r="B131" i="2" l="1"/>
  <c r="G134" i="2"/>
  <c r="E134" i="2" s="1"/>
  <c r="I46" i="1"/>
  <c r="O46" i="1"/>
  <c r="B49" i="1" a="1"/>
  <c r="B49" i="1" l="1"/>
  <c r="D139" i="2" l="1"/>
  <c r="D140" i="2"/>
  <c r="D144" i="2" s="1"/>
  <c r="D143" i="2" l="1"/>
  <c r="F136" i="2" l="1"/>
  <c r="G146" i="2"/>
  <c r="G147" i="2" s="1"/>
  <c r="H136" i="2"/>
  <c r="D137" i="2"/>
  <c r="D138" i="2"/>
  <c r="D142" i="2"/>
  <c r="F142" i="2"/>
  <c r="F143" i="2"/>
  <c r="D146" i="2" a="1"/>
  <c r="D146" i="2"/>
  <c r="D147" i="2" a="1"/>
  <c r="D147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 a="1"/>
  <c r="R150" i="2"/>
  <c r="S150" i="2"/>
  <c r="C153" i="2" a="1"/>
  <c r="C153" i="2"/>
  <c r="A160" i="2"/>
  <c r="B160" i="2"/>
  <c r="C160" i="2"/>
  <c r="D160" i="2"/>
  <c r="E160" i="2"/>
  <c r="F160" i="2"/>
  <c r="G160" i="2"/>
  <c r="H160" i="2"/>
  <c r="A162" i="2"/>
  <c r="B162" i="2"/>
  <c r="C162" i="2"/>
  <c r="D162" i="2"/>
  <c r="E162" i="2"/>
  <c r="F162" i="2"/>
  <c r="G162" i="2"/>
  <c r="H162" i="2"/>
  <c r="A164" i="2"/>
  <c r="B164" i="2"/>
  <c r="C164" i="2"/>
  <c r="D164" i="2"/>
  <c r="E164" i="2"/>
  <c r="F164" i="2"/>
  <c r="G164" i="2"/>
  <c r="H164" i="2"/>
  <c r="A166" i="2"/>
  <c r="B166" i="2"/>
  <c r="C166" i="2"/>
  <c r="D166" i="2"/>
  <c r="E166" i="2"/>
  <c r="F166" i="2"/>
  <c r="G166" i="2"/>
  <c r="A1" i="1"/>
  <c r="T2" i="1"/>
  <c r="A20" i="1"/>
  <c r="M31" i="1"/>
  <c r="L32" i="1"/>
  <c r="M32" i="1"/>
  <c r="N32" i="1"/>
  <c r="M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tc={0A142261-3ADA-D24A-85B9-D6D70B5D60C5}</author>
    <author>tc={9C796C1D-7C14-8143-A65D-F6D2F20500E3}</author>
    <author>tc={669385F9-156F-9D40-9551-F4A1471536C0}</author>
    <author>Cooper Terrill</author>
    <author>tc={3AC548F8-62BB-514F-982E-A106C682B9D2}</author>
    <author>tc={A1FA4168-C4C8-4B4D-AF91-307A997A7851}</author>
  </authors>
  <commentList>
    <comment ref="C143" authorId="0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E143" authorId="1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144" authorId="2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  <comment ref="E149" authorId="3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P149" authorId="4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R149" authorId="5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<sst xmlns="http://schemas.openxmlformats.org/spreadsheetml/2006/main" count="106" uniqueCount="100">
  <si>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</si>
  <si>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</si>
  <si>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</si>
  <si>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</si>
  <si>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</si>
  <si>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</si>
  <si>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</si>
  <si>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</si>
  <si>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</si>
  <si>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</si>
  <si>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</si>
  <si>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</si>
  <si>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</si>
  <si>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</si>
  <si>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</si>
  <si>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</si>
  <si>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</si>
  <si>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</si>
  <si>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</si>
  <si>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</si>
  <si>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</si>
  <si>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</si>
  <si>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</si>
  <si>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</si>
  <si>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</si>
  <si>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</si>
  <si>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</si>
  <si>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</si>
  <si>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</si>
  <si>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</si>
  <si>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</si>
  <si>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</si>
  <si>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</si>
  <si>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</si>
  <si>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</si>
  <si>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</si>
  <si>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</si>
  <si>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</si>
  <si>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</si>
  <si>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</si>
  <si>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</si>
  <si>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</si>
  <si>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</si>
  <si>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</si>
  <si>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</si>
  <si>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</si>
  <si>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</si>
  <si>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</si>
  <si>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</si>
  <si>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</si>
  <si>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</si>
  <si>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</si>
  <si>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</si>
  <si>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</si>
  <si>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</si>
  <si>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</si>
  <si>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</si>
  <si>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</si>
  <si>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</si>
  <si>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</si>
  <si>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</si>
  <si>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</si>
  <si>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</si>
  <si>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</si>
  <si>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</si>
  <si>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</si>
  <si>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</si>
  <si>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</si>
  <si>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</si>
  <si>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</si>
  <si>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</si>
  <si>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</si>
  <si>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</si>
  <si>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</si>
  <si>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</si>
  <si>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</si>
  <si>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</si>
  <si>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</si>
  <si>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</si>
  <si>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</si>
  <si>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</si>
  <si>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</si>
  <si>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</si>
  <si>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</si>
  <si>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</si>
  <si>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</si>
  <si>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</si>
  <si>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</si>
  <si>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</si>
  <si>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</si>
  <si>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</si>
  <si>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</si>
  <si>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</si>
  <si>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</si>
  <si>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</si>
  <si>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</si>
  <si>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</si>
  <si>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</si>
  <si>
    <t>PCVAL</t>
  </si>
  <si>
    <t>PCADDR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</si>
</sst>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5-18T05:44:13.32" personId="{91AC9A71-FD55-054C-B785-052ED73AB046}" id="{0A142261-3ADA-D24A-85B9-D6D70B5D60C5}">
    <text>Same</text>
  </threadedComment>
  <threadedComment ref="E143" dT="2024-05-18T05:58:40.63" personId="{91AC9A71-FD55-054C-B785-052ED73AB046}" id="{9C796C1D-7C14-8143-A65D-F6D2F20500E3}">
    <text>Might make conditional</text>
  </threadedComment>
  <threadedComment ref="C144" dT="2024-05-18T05:43:54.18" personId="{91AC9A71-FD55-054C-B785-052ED73AB046}" id="{669385F9-156F-9D40-9551-F4A1471536C0}">
    <text>Maybe can make calculation conditional</text>
  </threadedComment>
  <threadedComment ref="P149" dT="2024-05-18T05:32:13.02" personId="{91AC9A71-FD55-054C-B785-052ED73AB046}" id="{3AC548F8-62BB-514F-982E-A106C682B9D2}">
    <text>TODO: MAKE THIS INTERPRET AS A SIGNED NUMBER FOR BACKWARDS BRANCHING</text>
  </threadedComment>
  <threadedComment ref="R149" dT="2024-05-18T05:40:00.35" personId="{91AC9A71-FD55-054C-B785-052ED73AB046}" id="{A1FA4168-C4C8-4B4D-AF91-307A997A7851}">
    <text>Should the offset be indexed like this?</text>
  </threadedComment>
  <threadedComment ref="R149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178"/>
  <sheetViews>
    <sheetView zoomScale="132" workbookViewId="0">
      <selection activeCell="B6" sqref="B6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0" x14ac:dyDescent="0.2">
      <c r="A1" s="2">
        <f ca="1">IF($A$1 = 1,0,1)</f>
        <v>1</v>
      </c>
      <c r="B1" s="2">
        <v>0</v>
      </c>
      <c r="T1" t="s">
        <v>1</v>
      </c>
    </row>
    <row r="2" spans="1:20" x14ac:dyDescent="0.2">
      <c r="A2" s="2" t="s">
        <v>1</v>
      </c>
      <c r="B2" s="2" t="s">
        <v>2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4" spans="1:20" x14ac:dyDescent="0.2">
      <c r="I4" s="3"/>
      <c r="J4" s="3"/>
      <c r="K4" s="3"/>
      <c r="L4" s="3"/>
      <c r="M4" s="3"/>
      <c r="N4" s="3"/>
      <c r="O4" s="3"/>
      <c r="P4" s="3"/>
    </row>
    <row r="6" spans="1:20" x14ac:dyDescent="0.2">
      <c r="I6" s="3"/>
      <c r="J6" s="3"/>
      <c r="K6" s="3"/>
      <c r="L6" s="3"/>
      <c r="M6" s="3"/>
      <c r="N6" s="3"/>
      <c r="O6" s="3"/>
      <c r="P6" s="3"/>
    </row>
    <row r="8" spans="1:20" x14ac:dyDescent="0.2">
      <c r="I8" s="3"/>
      <c r="J8" s="3"/>
      <c r="K8" s="3"/>
      <c r="L8" s="3"/>
      <c r="M8" s="3"/>
      <c r="N8" s="3"/>
      <c r="O8" s="3"/>
      <c r="P8" s="3"/>
    </row>
    <row r="19" spans="1:14" x14ac:dyDescent="0.2">
      <c r="A19" t="s">
        <v>0</v>
      </c>
    </row>
    <row r="20" spans="1:14" x14ac:dyDescent="0.2">
      <c r="A20">
        <f ca="1">IF(CLR = 1, 0, $A$20 + 1)</f>
        <v>7</v>
      </c>
    </row>
    <row r="31" spans="1:14" x14ac:dyDescent="0.2">
      <c r="M31">
        <f ca="1">$M$32 + 1</f>
        <v>7</v>
      </c>
    </row>
    <row r="32" spans="1:14" x14ac:dyDescent="0.2">
      <c r="L32">
        <f ca="1">$M$32 + 1</f>
        <v>7</v>
      </c>
      <c r="M32">
        <f ca="1">$A$20</f>
        <v>7</v>
      </c>
      <c r="N32">
        <f ca="1">$M$32 + 1</f>
        <v>8</v>
      </c>
    </row>
    <row r="33" spans="1:15" x14ac:dyDescent="0.2">
      <c r="M33">
        <f ca="1">$M$32 + 1</f>
        <v>8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str">
        <f>ADDRESS(_xlfn.BITRSHIFT(_xlfn.BITRSHIFT(_pc,2),6)+50,1+_xlfn.BITAND(_xlfn.BITRSHIFT(_pc,2),127))</f>
        <v>$D$50</v>
      </c>
      <c r="B49" t="str" cm="1">
        <f t="array" aca="1" ref="B49" ca="1">INDIRECT($A$49)</f>
        <v>yo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1BF-120B-4942-8BA3-5B32A83BF744}">
  <sheetPr codeName="Sheet2"/>
  <dimension ref="A1:DX167"/>
  <sheetViews>
    <sheetView tabSelected="1" topLeftCell="A98" zoomScaleNormal="100" workbookViewId="0">
      <selection activeCell="G155" sqref="G155"/>
    </sheetView>
  </sheetViews>
  <sheetFormatPr baseColWidth="10" defaultColWidth="5.83203125" defaultRowHeight="16" x14ac:dyDescent="0.2"/>
  <cols>
    <col min="1" max="2" width="7.83203125" bestFit="1" customWidth="1"/>
  </cols>
  <sheetData>
    <row r="1" spans="1:128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1:12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1:12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1:12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1:12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1:12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1:12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1:12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1:12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1:12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1:12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1:12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1:12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1:12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1:12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</row>
    <row r="50" spans="1:12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</row>
    <row r="51" spans="1:12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</row>
    <row r="52" spans="1:12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</row>
    <row r="53" spans="1:12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</row>
    <row r="54" spans="1:12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</row>
    <row r="55" spans="1:12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</row>
    <row r="56" spans="1:12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</row>
    <row r="57" spans="1:12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</row>
    <row r="58" spans="1:12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</row>
    <row r="59" spans="1:12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</row>
    <row r="60" spans="1:12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</row>
    <row r="61" spans="1:12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</row>
    <row r="62" spans="1:12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</row>
    <row r="63" spans="1:12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</row>
    <row r="64" spans="1:12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</row>
    <row r="65" spans="1:12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</row>
    <row r="66" spans="1:12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</row>
    <row r="67" spans="1:12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</row>
    <row r="68" spans="1:12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</row>
    <row r="69" spans="1:12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</row>
    <row r="70" spans="1:12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</row>
    <row r="71" spans="1:12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</row>
    <row r="72" spans="1:12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</row>
    <row r="73" spans="1:12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</row>
    <row r="74" spans="1:12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</row>
    <row r="75" spans="1:12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</row>
    <row r="76" spans="1:12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</row>
    <row r="77" spans="1:12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</row>
    <row r="78" spans="1:12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</row>
    <row r="79" spans="1:12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</row>
    <row r="80" spans="1:12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</row>
    <row r="81" spans="1:12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</row>
    <row r="82" spans="1:12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</row>
    <row r="83" spans="1:12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</row>
    <row r="84" spans="1:12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</row>
    <row r="85" spans="1:12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</row>
    <row r="86" spans="1:12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</row>
    <row r="87" spans="1:12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</row>
    <row r="88" spans="1:12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</row>
    <row r="89" spans="1:12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</row>
    <row r="90" spans="1:12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</row>
    <row r="91" spans="1:12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</row>
    <row r="92" spans="1:12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</row>
    <row r="93" spans="1:12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</row>
    <row r="94" spans="1:12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</row>
    <row r="95" spans="1:12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1:12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1:12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1:12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1:12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1:12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1:12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1:12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1:12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1:12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1:12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1:12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1:12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1:12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1:12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1:12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1:12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1:12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1:12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1:12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1:12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1:12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1:12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1:12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1:12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1:12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1:12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1:12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1:12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1:12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1:12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1:12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1:12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30" spans="1:8" x14ac:dyDescent="0.2">
      <c r="A130" t="s">
        <v>99</v>
      </c>
      <c r="B130" t="s">
        <v>98</v>
      </c>
    </row>
    <row r="131" spans="1:8" x14ac:dyDescent="0.2">
      <c r="A131" t="e">
        <f>ADDRESS(_xlfn.BITRSHIFT(_xlfn.BITRSHIFT(_pc,2),6),1+_xlfn.BITAND(_xlfn.BITRSHIFT(_pc,2),127))</f>
        <v>#VALUE!</v>
      </c>
      <c r="B131" t="e" cm="1">
        <f t="array" aca="1" ref="B131" ca="1">INDIRECT(PCADDR)</f>
        <v>#NAME?</v>
      </c>
    </row>
    <row r="133" spans="1:8" x14ac:dyDescent="0.2">
      <c r="A133">
        <v>946669519</v>
      </c>
      <c r="B133">
        <f>_xlfn.BITRSHIFT($A$133,26)</f>
        <v>14</v>
      </c>
      <c r="C133" t="s">
        <v>5</v>
      </c>
      <c r="E133" t="s">
        <v>6</v>
      </c>
      <c r="G133" t="s">
        <v>7</v>
      </c>
    </row>
    <row r="134" spans="1:8" x14ac:dyDescent="0.2">
      <c r="A134" t="s">
        <v>3</v>
      </c>
      <c r="B134" t="s">
        <v>4</v>
      </c>
      <c r="C134" t="b">
        <f>(OP=0)</f>
        <v>0</v>
      </c>
      <c r="E134" t="b">
        <f>AND(NOT(RFMT),NOT(JFMT))</f>
        <v>1</v>
      </c>
      <c r="G134" t="b">
        <f>OR(OP=2,OP=3,OP=26)</f>
        <v>0</v>
      </c>
    </row>
    <row r="136" spans="1:8" x14ac:dyDescent="0.2">
      <c r="C136" t="s">
        <v>25</v>
      </c>
      <c r="D136">
        <f xml:space="preserve"> _xlfn.BITAND(INSTR,127)</f>
        <v>79</v>
      </c>
      <c r="E136" t="s">
        <v>24</v>
      </c>
      <c r="F136">
        <f>IF(IFMT,_xlfn.BITAND(INSTR,65535),IMMD)</f>
        <v>1999</v>
      </c>
      <c r="G136" t="s">
        <v>43</v>
      </c>
      <c r="H136">
        <f ca="1">IF(JFMT,_xlfn.BITAND(INSTR,134217727),JBITS)</f>
        <v>420</v>
      </c>
    </row>
    <row r="137" spans="1:8" x14ac:dyDescent="0.2">
      <c r="C137" t="s">
        <v>26</v>
      </c>
      <c r="D137">
        <f ca="1">IF(RFMT,_xlfn.BITAND(_xlfn.BITRSHIFT(INSTR,6),31),$D$137)</f>
        <v>0</v>
      </c>
    </row>
    <row r="138" spans="1:8" x14ac:dyDescent="0.2">
      <c r="C138" t="s">
        <v>27</v>
      </c>
      <c r="D138">
        <f ca="1">IF(RFMT,_xlfn.BITAND(_xlfn.BITRSHIFT(INSTR,11),31),$D$138)</f>
        <v>2</v>
      </c>
    </row>
    <row r="139" spans="1:8" x14ac:dyDescent="0.2">
      <c r="C139" t="s">
        <v>28</v>
      </c>
      <c r="D139">
        <f>IF(OR(RFMT,IFMT),_xlfn.BITAND(_xlfn.BITRSHIFT(INSTR,16),31),$D$139)</f>
        <v>13</v>
      </c>
    </row>
    <row r="140" spans="1:8" x14ac:dyDescent="0.2">
      <c r="C140" t="s">
        <v>29</v>
      </c>
      <c r="D140">
        <f>IF(OR(RFMT,IFMT),_xlfn.BITAND(_xlfn.BITRSHIFT(INSTR,21),31),$D$140)</f>
        <v>3</v>
      </c>
    </row>
    <row r="142" spans="1:8" x14ac:dyDescent="0.2">
      <c r="C142" t="s">
        <v>30</v>
      </c>
      <c r="D142" t="str">
        <f ca="1">IF(RFMT,ADDRESS(_xlfn.BITRSHIFT(RD,3)*2 + 160, 1+_xlfn.BITAND(RD,7)),RDADDR)</f>
        <v>$C$160</v>
      </c>
      <c r="E142" t="s">
        <v>44</v>
      </c>
      <c r="F142">
        <f ca="1">IF(OP=35,_xlfn.BITAND(_xlfn.BITRSHIFT(INSTR,21),31),LWBASE)</f>
        <v>5</v>
      </c>
    </row>
    <row r="143" spans="1:8" x14ac:dyDescent="0.2">
      <c r="C143" t="s">
        <v>23</v>
      </c>
      <c r="D143" t="str">
        <f>ADDRESS(_xlfn.BITRSHIFT(RT,3)*2 + 160, 1+_xlfn.BITAND(RT,7))</f>
        <v>$F$162</v>
      </c>
      <c r="E143" t="s">
        <v>45</v>
      </c>
      <c r="F143" t="str">
        <f ca="1">ADDRESS(_xlfn.BITRSHIFT(LWBASE,3)*2 + 160, 1+_xlfn.BITAND(LWBASE,7))</f>
        <v>$F$160</v>
      </c>
    </row>
    <row r="144" spans="1:8" x14ac:dyDescent="0.2">
      <c r="C144" t="s">
        <v>22</v>
      </c>
      <c r="D144" t="str">
        <f>ADDRESS(_xlfn.BITRSHIFT(RS,3)*2 + 160, 1+_xlfn.BITAND(RS,7))</f>
        <v>$D$160</v>
      </c>
    </row>
    <row r="146" spans="1:19" x14ac:dyDescent="0.2">
      <c r="C146" t="s">
        <v>33</v>
      </c>
      <c r="D146" cm="1">
        <f t="array" aca="1" ref="D146" ca="1">INDIRECT(RTADDR)</f>
        <v>1999</v>
      </c>
      <c r="F146" t="s">
        <v>66</v>
      </c>
      <c r="G146">
        <f>IF(RFMT, RD, IF(IFMT,IF(_xlfn.BITRSHIFT(OP,3)=0,31,RT),31))</f>
        <v>13</v>
      </c>
    </row>
    <row r="147" spans="1:19" x14ac:dyDescent="0.2">
      <c r="C147" t="s">
        <v>34</v>
      </c>
      <c r="D147" cm="1">
        <f t="array" aca="1" ref="D147" ca="1">INDIRECT(RSADDR)</f>
        <v>0</v>
      </c>
      <c r="F147" t="s">
        <v>97</v>
      </c>
      <c r="G147" t="str">
        <f>ADDRESS(_xlfn.BITRSHIFT(REGWRITE,3)*2 + 160, 1+_xlfn.BITAND(REGWRITE,7))</f>
        <v>$F$162</v>
      </c>
    </row>
    <row r="149" spans="1:19" x14ac:dyDescent="0.2">
      <c r="A149" t="s">
        <v>65</v>
      </c>
      <c r="B149" t="s">
        <v>46</v>
      </c>
      <c r="C149" t="s">
        <v>47</v>
      </c>
      <c r="D149" t="s">
        <v>48</v>
      </c>
      <c r="E149" t="s">
        <v>50</v>
      </c>
      <c r="F149" t="s">
        <v>49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57</v>
      </c>
      <c r="M149" t="s">
        <v>56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 x14ac:dyDescent="0.2">
      <c r="B150">
        <f ca="1">RTVAL+RSVAL</f>
        <v>1999</v>
      </c>
      <c r="C150">
        <f ca="1">RSVAL-RTVAL</f>
        <v>-1999</v>
      </c>
      <c r="D150">
        <f ca="1">RSVAL*RTVAL</f>
        <v>0</v>
      </c>
      <c r="E150">
        <f ca="1">RSVAL/RTVAL</f>
        <v>0</v>
      </c>
      <c r="F150">
        <f ca="1">_xlfn.BITAND(RSVAL,RTVAL)</f>
        <v>0</v>
      </c>
      <c r="G150">
        <f ca="1">_xlfn.BITOR(RSVAL,RTVAL)</f>
        <v>1999</v>
      </c>
      <c r="H150">
        <f ca="1">_xlfn.BITXOR(RSVAL,RTVAL)</f>
        <v>1999</v>
      </c>
      <c r="I150">
        <f ca="1">_xlfn.BITLSHIFT(RTVAL,SHMT)</f>
        <v>1999</v>
      </c>
      <c r="J150">
        <f ca="1">_xlfn.BITRSHIFT(RTVAL,SHMT)</f>
        <v>1999</v>
      </c>
      <c r="K150">
        <f ca="1">RSVAL+IMMD</f>
        <v>1999</v>
      </c>
      <c r="L150">
        <f ca="1">_xlfn.BITAND(RSVAL,IMMD)</f>
        <v>0</v>
      </c>
      <c r="M150">
        <f ca="1">_xlfn.BITOR(RSVAL,IMMD)</f>
        <v>1999</v>
      </c>
      <c r="N150">
        <f ca="1">IFERROR(_xlfn.BITXOR(RSVAL,IMMD),XORI)</f>
        <v>1999</v>
      </c>
      <c r="O150">
        <f ca="1">_xlfn.BITOR(_xlfn.BITAND(_pc+4,4026531840),_xlfn.BITLSHIFT(JBITS,2))</f>
        <v>1680</v>
      </c>
      <c r="P150">
        <f ca="1">IF(RSVAL=RTVAL,_xlfn.BITLSHIFT(IMMD,2)+_pc+4,_pc+4)</f>
        <v>16</v>
      </c>
      <c r="Q150">
        <f ca="1">IF(RSVAL&lt;&gt;RTVAL,_xlfn.BITLSHIFT(IMMD,2)+_pc+4,_pc+4)</f>
        <v>8012</v>
      </c>
      <c r="R150" cm="1">
        <f t="array" aca="1" ref="R150" ca="1">INDIRECT(LWBASEADDR)+IMMD</f>
        <v>1999</v>
      </c>
      <c r="S150">
        <f ca="1">RTVAL</f>
        <v>1999</v>
      </c>
    </row>
    <row r="151" spans="1:19" ht="17" x14ac:dyDescent="0.2">
      <c r="A151" t="s">
        <v>64</v>
      </c>
      <c r="B151" t="s">
        <v>32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8</v>
      </c>
      <c r="L151">
        <v>12</v>
      </c>
      <c r="M151">
        <v>13</v>
      </c>
      <c r="N151" s="1">
        <v>14</v>
      </c>
      <c r="O151">
        <v>2</v>
      </c>
      <c r="P151">
        <v>4</v>
      </c>
      <c r="Q151">
        <v>5</v>
      </c>
      <c r="R151">
        <v>34</v>
      </c>
      <c r="S151">
        <v>42</v>
      </c>
    </row>
    <row r="153" spans="1:19" x14ac:dyDescent="0.2">
      <c r="B153" t="s">
        <v>31</v>
      </c>
      <c r="C153" cm="1">
        <f t="array" aca="1" ref="C153" ca="1">IFERROR(_xlfn.SWITCH(OP,8,ADDI,12,ANDI,13,ORI,14,XORI,2,J,4,BEQ,5,BNE,34,LW,42,SW, 0, _xlfn.SWITCH(FNCT,32,ADD,34,SUB,24,MULT,26,DIV,36,AND,37,OR,38,XOR,0,SLL,2,SRL)),ALU)</f>
        <v>1999</v>
      </c>
    </row>
    <row r="160" spans="1:19" x14ac:dyDescent="0.2">
      <c r="A160">
        <f ca="1">IF(CLR,0,(IF(REGWRITEADDR=ADDRESS(ROW(),COLUMN()),ALU,_zero)))</f>
        <v>0</v>
      </c>
      <c r="B160">
        <f ca="1">IF(CLR,0,(IF(REGWRITEADDR=ADDRESS(ROW(),COLUMN()),ALU,_v0)))</f>
        <v>0</v>
      </c>
      <c r="C160">
        <f ca="1">IFERROR(IF(CLR,0,(IF(REGWRITEADDR=ADDRESS(ROW(),COLUMN()),ALU,_v1))),_v1)</f>
        <v>0</v>
      </c>
      <c r="D160">
        <f ca="1">IF(CLR,0,(IF(REGWRITEADDR=ADDRESS(ROW(),COLUMN()),ALU,_a0)))</f>
        <v>0</v>
      </c>
      <c r="E160">
        <f ca="1">IFERROR(IF(CLR,0,(IF(REGWRITEADDR=ADDRESS(ROW(),COLUMN()),ALU,_a1))),_a1)</f>
        <v>0</v>
      </c>
      <c r="F160">
        <f ca="1">IF(CLR,0,(IF(REGWRITEADDR=ADDRESS(ROW(),COLUMN()),ALU,_a2)))</f>
        <v>0</v>
      </c>
      <c r="G160">
        <f ca="1">IF(CLR,0,(IF(REGWRITEADDR=ADDRESS(ROW(),COLUMN()),ALU,_a3)))</f>
        <v>0</v>
      </c>
      <c r="H160">
        <f ca="1">IF(CLR,0,(IF(REGWRITEADDR=ADDRESS(ROW(),COLUMN()),ALU,_t0)))</f>
        <v>0</v>
      </c>
    </row>
    <row r="161" spans="1:8" x14ac:dyDescent="0.2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</row>
    <row r="162" spans="1:8" x14ac:dyDescent="0.2">
      <c r="A162">
        <f ca="1">IF(CLR,0,(IF(REGWRITEADDR=ADDRESS(ROW(),COLUMN()),ALU,_t1)))</f>
        <v>0</v>
      </c>
      <c r="B162">
        <f ca="1">IFERROR(IF(CLR,0,(IF(REGWRITEADDR=ADDRESS(ROW(),COLUMN()),ALU,_t2))),_t2)</f>
        <v>0</v>
      </c>
      <c r="C162">
        <f ca="1">IF(CLR,0,(IF(REGWRITEADDR=ADDRESS(ROW(),COLUMN()),ALU,_t3)))</f>
        <v>0</v>
      </c>
      <c r="D162">
        <f ca="1">IF(CLR,0,(IF(REGWRITEADDR=ADDRESS(ROW(),COLUMN()),ALU,_t4)))</f>
        <v>0</v>
      </c>
      <c r="E162">
        <f ca="1">IF(CLR,0,(IF(REGWRITEADDR=ADDRESS(ROW(),COLUMN()),ALU,_t5)))</f>
        <v>0</v>
      </c>
      <c r="F162">
        <f ca="1">IF(CLR,0,(IF(REGWRITEADDR=ADDRESS(ROW(),COLUMN()),ALU,_t6)))</f>
        <v>1999</v>
      </c>
      <c r="G162">
        <f ca="1">IF(CLR,0,(IF(REGWRITEADDR=ADDRESS(ROW(),COLUMN()),ALU,_t7)))</f>
        <v>0</v>
      </c>
      <c r="H162">
        <f ca="1">IF(CLR,0,(IF(REGWRITEADDR=ADDRESS(ROW(),COLUMN()),ALU,_t8)))</f>
        <v>0</v>
      </c>
    </row>
    <row r="163" spans="1:8" x14ac:dyDescent="0.2">
      <c r="A163" t="s">
        <v>75</v>
      </c>
      <c r="B163" t="s">
        <v>76</v>
      </c>
      <c r="C163" t="s">
        <v>77</v>
      </c>
      <c r="D163" t="s">
        <v>78</v>
      </c>
      <c r="E163" t="s">
        <v>79</v>
      </c>
      <c r="F163" t="s">
        <v>80</v>
      </c>
      <c r="G163" t="s">
        <v>81</v>
      </c>
      <c r="H163" t="s">
        <v>82</v>
      </c>
    </row>
    <row r="164" spans="1:8" x14ac:dyDescent="0.2">
      <c r="A164">
        <f ca="1">IF(CLR,0,(IF(REGWRITEADDR=ADDRESS(ROW(),COLUMN()),ALU,_t9)))</f>
        <v>0</v>
      </c>
      <c r="B164">
        <f ca="1">IF(CLR,0,(IF(REGWRITEADDR=ADDRESS(ROW(),COLUMN()),ALU,_s0)))</f>
        <v>0</v>
      </c>
      <c r="C164">
        <f ca="1">IF(CLR,0,(IF(REGWRITEADDR=ADDRESS(ROW(),COLUMN()),ALU,_s1)))</f>
        <v>0</v>
      </c>
      <c r="D164">
        <f ca="1">IF(CLR,0,(IF(REGWRITEADDR=ADDRESS(ROW(),COLUMN()),ALU,_s2)))</f>
        <v>0</v>
      </c>
      <c r="E164">
        <f ca="1">IF(CLR,0,(IF(REGWRITEADDR=ADDRESS(ROW(),COLUMN()),ALU,_s3)))</f>
        <v>0</v>
      </c>
      <c r="F164">
        <f ca="1">IF(CLR,0,(IF(REGWRITEADDR=ADDRESS(ROW(),COLUMN()),ALU,_s4)))</f>
        <v>0</v>
      </c>
      <c r="G164">
        <f ca="1">IF(CLR,0,(IF(REGWRITEADDR=ADDRESS(ROW(),COLUMN()),ALU,_s5)))</f>
        <v>0</v>
      </c>
      <c r="H164">
        <f ca="1">IF(CLR,0,(IF(REGWRITEADDR=ADDRESS(ROW(),COLUMN()),ALU,_s6)))</f>
        <v>0</v>
      </c>
    </row>
    <row r="165" spans="1:8" x14ac:dyDescent="0.2">
      <c r="A165" t="s">
        <v>83</v>
      </c>
      <c r="B165" t="s">
        <v>84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</row>
    <row r="166" spans="1:8" x14ac:dyDescent="0.2">
      <c r="A166">
        <f ca="1">IF(CLR,0,(IF(REGWRITEADDR=ADDRESS(ROW(),COLUMN()),ALU,_s7)))</f>
        <v>0</v>
      </c>
      <c r="B166">
        <f ca="1">IF(CLR,0,(IF(REGWRITEADDR=ADDRESS(ROW(),COLUMN()),ALU,_t8)))</f>
        <v>0</v>
      </c>
      <c r="C166">
        <f ca="1">IF(CLR,0,(IF(REGWRITEADDR=ADDRESS(ROW(),COLUMN()),ALU,_t9)))</f>
        <v>0</v>
      </c>
      <c r="D166">
        <f ca="1">IF(CLR,0,(IF(REGWRITEADDR=ADDRESS(ROW(),COLUMN()),ALU,_gp)))</f>
        <v>0</v>
      </c>
      <c r="E166">
        <f ca="1">IF(CLR,0,(IF(REGWRITEADDR=ADDRESS(ROW(),COLUMN()),ALU,_sp)))</f>
        <v>0</v>
      </c>
      <c r="F166">
        <f ca="1">IF(CLR,0,(IF(REGWRITEADDR=ADDRESS(ROW(),COLUMN()),ALU,_fp)))</f>
        <v>0</v>
      </c>
      <c r="G166">
        <f ca="1">IF(CLR,0,(IF(REGWRITEADDR=ADDRESS(ROW(),COLUMN()),ALU,_ra)))</f>
        <v>0</v>
      </c>
      <c r="H166">
        <v>12</v>
      </c>
    </row>
    <row r="167" spans="1:8" x14ac:dyDescent="0.2">
      <c r="A167" t="s">
        <v>91</v>
      </c>
      <c r="B167" t="s">
        <v>82</v>
      </c>
      <c r="C167" t="s">
        <v>83</v>
      </c>
      <c r="D167" t="s">
        <v>92</v>
      </c>
      <c r="E167" t="s">
        <v>93</v>
      </c>
      <c r="F167" t="s">
        <v>94</v>
      </c>
      <c r="G167" t="s">
        <v>95</v>
      </c>
      <c r="H167" t="s">
        <v>96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72</vt:i4>
      </vt:variant>
    </vt:vector>
  </HeadingPairs>
  <TitlesOfParts>
    <vt:vector size="74" baseType="lpstr">
      <vt:lpstr>Sheet1</vt:lpstr>
      <vt:lpstr>CPU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2024-05-23T17:20:06Z</dcterms:modified>
</cp:coreProperties>
</file>